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4.10.2025 плюс 1 млрд УТОЧ" sheetId="4" r:id="rId1"/>
  </sheets>
  <externalReferences>
    <externalReference r:id="rId2"/>
  </externalReferences>
  <definedNames>
    <definedName name="Z_D9A49370_59EF_4DF5_B20D_A46D1CBDF607_.wvu.PrintTitles" localSheetId="0">'14.10.2025 плюс 1 млрд УТОЧ'!$5:$8</definedName>
    <definedName name="Z_D9A49370_59EF_4DF5_B20D_A46D1CBDF607_.wvu.Rows" localSheetId="0">'[1]04.12'!#REF!</definedName>
    <definedName name="_xlnm.Print_Titles" localSheetId="0">'14.10.2025 плюс 1 млрд УТОЧ'!$5:$9</definedName>
    <definedName name="_xlnm.Print_Area" localSheetId="0">'14.10.2025 плюс 1 млрд УТОЧ'!$A$1:$AB$193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153" i="4"/>
  <c r="X151"/>
  <c r="F151"/>
  <c r="F153" s="1"/>
  <c r="F106"/>
  <c r="F107" s="1"/>
  <c r="F26"/>
  <c r="O26" s="1"/>
  <c r="Q26" s="1"/>
  <c r="O193"/>
  <c r="Q193" s="1"/>
  <c r="R191"/>
  <c r="R159" s="1"/>
  <c r="Q191"/>
  <c r="Q166" s="1"/>
  <c r="O189"/>
  <c r="Q189" s="1"/>
  <c r="F189"/>
  <c r="F187"/>
  <c r="O187" s="1"/>
  <c r="Q187" s="1"/>
  <c r="Q185"/>
  <c r="O185"/>
  <c r="AC182"/>
  <c r="Q182"/>
  <c r="N182"/>
  <c r="K182"/>
  <c r="F182"/>
  <c r="Q180"/>
  <c r="O180"/>
  <c r="N180"/>
  <c r="Q178"/>
  <c r="O178"/>
  <c r="N178"/>
  <c r="F178"/>
  <c r="N176"/>
  <c r="N161" s="1"/>
  <c r="N164" s="1"/>
  <c r="F176"/>
  <c r="AC175"/>
  <c r="Q175"/>
  <c r="Q163" s="1"/>
  <c r="N175"/>
  <c r="K175"/>
  <c r="F175"/>
  <c r="F163" s="1"/>
  <c r="U173"/>
  <c r="W173" s="1"/>
  <c r="T173"/>
  <c r="W172"/>
  <c r="U172"/>
  <c r="T172"/>
  <c r="R169"/>
  <c r="Q169"/>
  <c r="Q165" s="1"/>
  <c r="N169"/>
  <c r="O167"/>
  <c r="O166"/>
  <c r="N166"/>
  <c r="L166"/>
  <c r="K166"/>
  <c r="I166"/>
  <c r="H166"/>
  <c r="F166"/>
  <c r="E166"/>
  <c r="O165"/>
  <c r="N165"/>
  <c r="N167" s="1"/>
  <c r="L165"/>
  <c r="L167" s="1"/>
  <c r="K165"/>
  <c r="K167" s="1"/>
  <c r="I165"/>
  <c r="I167" s="1"/>
  <c r="H165"/>
  <c r="H167" s="1"/>
  <c r="F165"/>
  <c r="F167" s="1"/>
  <c r="E165"/>
  <c r="E167" s="1"/>
  <c r="O163"/>
  <c r="N163"/>
  <c r="K163"/>
  <c r="I163"/>
  <c r="E163"/>
  <c r="F162"/>
  <c r="E162"/>
  <c r="K161"/>
  <c r="K164" s="1"/>
  <c r="I161"/>
  <c r="I164" s="1"/>
  <c r="H161"/>
  <c r="H164" s="1"/>
  <c r="E161"/>
  <c r="E164" s="1"/>
  <c r="L159"/>
  <c r="K159"/>
  <c r="I159"/>
  <c r="H159"/>
  <c r="AD157"/>
  <c r="V157"/>
  <c r="W157" s="1"/>
  <c r="J157"/>
  <c r="I157" s="1"/>
  <c r="F157"/>
  <c r="D157"/>
  <c r="K156"/>
  <c r="I156"/>
  <c r="G156"/>
  <c r="F156"/>
  <c r="D156"/>
  <c r="P153"/>
  <c r="O153"/>
  <c r="M153"/>
  <c r="J153"/>
  <c r="Q152"/>
  <c r="Q153" s="1"/>
  <c r="K152"/>
  <c r="F152"/>
  <c r="D152"/>
  <c r="D153" s="1"/>
  <c r="U150"/>
  <c r="S150"/>
  <c r="S153" s="1"/>
  <c r="K149"/>
  <c r="K153" s="1"/>
  <c r="I149"/>
  <c r="I153" s="1"/>
  <c r="G149"/>
  <c r="G153" s="1"/>
  <c r="W147"/>
  <c r="V147"/>
  <c r="U147"/>
  <c r="S147"/>
  <c r="I147"/>
  <c r="Q146"/>
  <c r="K146"/>
  <c r="F146"/>
  <c r="D146"/>
  <c r="O145"/>
  <c r="M145"/>
  <c r="M147" s="1"/>
  <c r="F145"/>
  <c r="F147" s="1"/>
  <c r="D145"/>
  <c r="D147" s="1"/>
  <c r="K144"/>
  <c r="K147" s="1"/>
  <c r="I144"/>
  <c r="G144"/>
  <c r="G147" s="1"/>
  <c r="P142"/>
  <c r="F142"/>
  <c r="D142"/>
  <c r="V141"/>
  <c r="V142" s="1"/>
  <c r="U141"/>
  <c r="W141" s="1"/>
  <c r="W142" s="1"/>
  <c r="S141"/>
  <c r="S142" s="1"/>
  <c r="O140"/>
  <c r="Q140" s="1"/>
  <c r="M140"/>
  <c r="O139"/>
  <c r="Q139" s="1"/>
  <c r="M139"/>
  <c r="M142" s="1"/>
  <c r="Q136"/>
  <c r="K136"/>
  <c r="F136"/>
  <c r="D136"/>
  <c r="P135"/>
  <c r="P137" s="1"/>
  <c r="J135"/>
  <c r="J22" s="1"/>
  <c r="F135"/>
  <c r="F137" s="1"/>
  <c r="D135"/>
  <c r="D137" s="1"/>
  <c r="X134"/>
  <c r="X135" s="1"/>
  <c r="X137" s="1"/>
  <c r="U134"/>
  <c r="Z134" s="1"/>
  <c r="U133"/>
  <c r="U135" s="1"/>
  <c r="U137" s="1"/>
  <c r="S133"/>
  <c r="S135" s="1"/>
  <c r="S137" s="1"/>
  <c r="O132"/>
  <c r="Q132" s="1"/>
  <c r="M132"/>
  <c r="M135" s="1"/>
  <c r="M137" s="1"/>
  <c r="O131"/>
  <c r="Q131" s="1"/>
  <c r="I130"/>
  <c r="I135" s="1"/>
  <c r="I137" s="1"/>
  <c r="D130"/>
  <c r="G130" s="1"/>
  <c r="G135" s="1"/>
  <c r="G137" s="1"/>
  <c r="P128"/>
  <c r="F128"/>
  <c r="V127"/>
  <c r="U127"/>
  <c r="W127" s="1"/>
  <c r="S127"/>
  <c r="U126"/>
  <c r="V126" s="1"/>
  <c r="V128" s="1"/>
  <c r="S126"/>
  <c r="S128" s="1"/>
  <c r="Q125"/>
  <c r="O125"/>
  <c r="D125"/>
  <c r="M125" s="1"/>
  <c r="O124"/>
  <c r="D124"/>
  <c r="D128" s="1"/>
  <c r="P122"/>
  <c r="M122"/>
  <c r="I122"/>
  <c r="H122"/>
  <c r="F122"/>
  <c r="D122"/>
  <c r="V121"/>
  <c r="V122" s="1"/>
  <c r="U121"/>
  <c r="S121"/>
  <c r="S122" s="1"/>
  <c r="Q120"/>
  <c r="Q122" s="1"/>
  <c r="O120"/>
  <c r="O122" s="1"/>
  <c r="M120"/>
  <c r="I119"/>
  <c r="K119" s="1"/>
  <c r="K122" s="1"/>
  <c r="G119"/>
  <c r="G122" s="1"/>
  <c r="U117"/>
  <c r="S117"/>
  <c r="P117"/>
  <c r="O117"/>
  <c r="M117"/>
  <c r="V115"/>
  <c r="V117" s="1"/>
  <c r="Q115"/>
  <c r="Q117" s="1"/>
  <c r="F115"/>
  <c r="F117" s="1"/>
  <c r="D115"/>
  <c r="D117" s="1"/>
  <c r="I113"/>
  <c r="U112"/>
  <c r="V112" s="1"/>
  <c r="D112"/>
  <c r="S112" s="1"/>
  <c r="S113" s="1"/>
  <c r="W111"/>
  <c r="V111"/>
  <c r="U111"/>
  <c r="U113" s="1"/>
  <c r="S111"/>
  <c r="Q111"/>
  <c r="Q110"/>
  <c r="M110"/>
  <c r="M113" s="1"/>
  <c r="Q109"/>
  <c r="Q113" s="1"/>
  <c r="P109"/>
  <c r="P113" s="1"/>
  <c r="O109"/>
  <c r="O113" s="1"/>
  <c r="K109"/>
  <c r="K113" s="1"/>
  <c r="S107"/>
  <c r="P107"/>
  <c r="D107"/>
  <c r="W106"/>
  <c r="W107" s="1"/>
  <c r="V106"/>
  <c r="V107" s="1"/>
  <c r="U106"/>
  <c r="D106"/>
  <c r="X106" s="1"/>
  <c r="X107" s="1"/>
  <c r="O105"/>
  <c r="Q105" s="1"/>
  <c r="M105"/>
  <c r="M107" s="1"/>
  <c r="O104"/>
  <c r="Q104" s="1"/>
  <c r="P102"/>
  <c r="F102"/>
  <c r="D102"/>
  <c r="O101"/>
  <c r="Q101" s="1"/>
  <c r="M101"/>
  <c r="M102" s="1"/>
  <c r="U100"/>
  <c r="U102" s="1"/>
  <c r="S100"/>
  <c r="S102" s="1"/>
  <c r="O99"/>
  <c r="Q99" s="1"/>
  <c r="Q102" s="1"/>
  <c r="I98"/>
  <c r="K98" s="1"/>
  <c r="K102" s="1"/>
  <c r="G98"/>
  <c r="G102" s="1"/>
  <c r="I96"/>
  <c r="G96"/>
  <c r="Q95"/>
  <c r="K95"/>
  <c r="K96" s="1"/>
  <c r="F95"/>
  <c r="D95"/>
  <c r="P94"/>
  <c r="P96" s="1"/>
  <c r="M94"/>
  <c r="M96" s="1"/>
  <c r="F94"/>
  <c r="D94"/>
  <c r="U93"/>
  <c r="S93"/>
  <c r="S94" s="1"/>
  <c r="S96" s="1"/>
  <c r="W92"/>
  <c r="V92"/>
  <c r="U92"/>
  <c r="S92"/>
  <c r="V91"/>
  <c r="W91" s="1"/>
  <c r="Q90"/>
  <c r="Q94" s="1"/>
  <c r="Q96" s="1"/>
  <c r="O90"/>
  <c r="O94" s="1"/>
  <c r="O96" s="1"/>
  <c r="Q88"/>
  <c r="P88"/>
  <c r="O88"/>
  <c r="M88"/>
  <c r="U87"/>
  <c r="U88" s="1"/>
  <c r="S87"/>
  <c r="S88" s="1"/>
  <c r="W86"/>
  <c r="V86"/>
  <c r="Q86"/>
  <c r="F86"/>
  <c r="F88" s="1"/>
  <c r="D86"/>
  <c r="D88" s="1"/>
  <c r="I85"/>
  <c r="I88" s="1"/>
  <c r="G85"/>
  <c r="G88" s="1"/>
  <c r="P83"/>
  <c r="O83"/>
  <c r="M83"/>
  <c r="I83"/>
  <c r="G83"/>
  <c r="Q82"/>
  <c r="K82"/>
  <c r="K83" s="1"/>
  <c r="F82"/>
  <c r="D82"/>
  <c r="D83" s="1"/>
  <c r="S81"/>
  <c r="S83" s="1"/>
  <c r="F81"/>
  <c r="Q80"/>
  <c r="Q83" s="1"/>
  <c r="O80"/>
  <c r="M80"/>
  <c r="K78"/>
  <c r="J78"/>
  <c r="I78"/>
  <c r="G78"/>
  <c r="F78"/>
  <c r="D78"/>
  <c r="P74"/>
  <c r="F74"/>
  <c r="V73"/>
  <c r="V74" s="1"/>
  <c r="U73"/>
  <c r="U74" s="1"/>
  <c r="S73"/>
  <c r="S74" s="1"/>
  <c r="Q72"/>
  <c r="O72"/>
  <c r="M72"/>
  <c r="O71"/>
  <c r="Q71" s="1"/>
  <c r="D71"/>
  <c r="D74" s="1"/>
  <c r="K67"/>
  <c r="K74" s="1"/>
  <c r="I67"/>
  <c r="I74" s="1"/>
  <c r="G67"/>
  <c r="G74" s="1"/>
  <c r="P64"/>
  <c r="M64"/>
  <c r="D64"/>
  <c r="V63"/>
  <c r="V64" s="1"/>
  <c r="U63"/>
  <c r="U64" s="1"/>
  <c r="S63"/>
  <c r="S64" s="1"/>
  <c r="F63"/>
  <c r="F64" s="1"/>
  <c r="O62"/>
  <c r="O64" s="1"/>
  <c r="Z60"/>
  <c r="X60"/>
  <c r="U60"/>
  <c r="P60"/>
  <c r="F60"/>
  <c r="U59"/>
  <c r="V59" s="1"/>
  <c r="S59"/>
  <c r="S60" s="1"/>
  <c r="AB58"/>
  <c r="AB60" s="1"/>
  <c r="AA58"/>
  <c r="AA60" s="1"/>
  <c r="Z58"/>
  <c r="X58"/>
  <c r="F58"/>
  <c r="O57"/>
  <c r="Q57" s="1"/>
  <c r="M57"/>
  <c r="Q56"/>
  <c r="O56"/>
  <c r="O60" s="1"/>
  <c r="M56"/>
  <c r="M60" s="1"/>
  <c r="D56"/>
  <c r="D60" s="1"/>
  <c r="Q51"/>
  <c r="K51"/>
  <c r="F51"/>
  <c r="D51"/>
  <c r="U50"/>
  <c r="U52" s="1"/>
  <c r="P50"/>
  <c r="P52" s="1"/>
  <c r="J50"/>
  <c r="J52" s="1"/>
  <c r="F50"/>
  <c r="F52" s="1"/>
  <c r="D50"/>
  <c r="D52" s="1"/>
  <c r="W49"/>
  <c r="U49"/>
  <c r="S49"/>
  <c r="U48"/>
  <c r="V48" s="1"/>
  <c r="V50" s="1"/>
  <c r="V52" s="1"/>
  <c r="S48"/>
  <c r="S50" s="1"/>
  <c r="S52" s="1"/>
  <c r="O47"/>
  <c r="Q47" s="1"/>
  <c r="M47"/>
  <c r="O46"/>
  <c r="Q46" s="1"/>
  <c r="M46"/>
  <c r="Q45"/>
  <c r="O45"/>
  <c r="M45"/>
  <c r="D45"/>
  <c r="I44"/>
  <c r="K44" s="1"/>
  <c r="K50" s="1"/>
  <c r="K52" s="1"/>
  <c r="G44"/>
  <c r="G50" s="1"/>
  <c r="D44"/>
  <c r="J42"/>
  <c r="Q41"/>
  <c r="I41"/>
  <c r="I23" s="1"/>
  <c r="F41"/>
  <c r="D41"/>
  <c r="D23" s="1"/>
  <c r="P40"/>
  <c r="P42" s="1"/>
  <c r="G40"/>
  <c r="G42" s="1"/>
  <c r="Q39"/>
  <c r="O39"/>
  <c r="M39"/>
  <c r="Q38"/>
  <c r="F38"/>
  <c r="D38"/>
  <c r="Q37"/>
  <c r="O37"/>
  <c r="O40" s="1"/>
  <c r="O42" s="1"/>
  <c r="M37"/>
  <c r="Q36"/>
  <c r="K36"/>
  <c r="F36"/>
  <c r="AC36" s="1"/>
  <c r="D36"/>
  <c r="M36" s="1"/>
  <c r="W35"/>
  <c r="V35"/>
  <c r="U35"/>
  <c r="S35"/>
  <c r="U34"/>
  <c r="V34" s="1"/>
  <c r="S34"/>
  <c r="W33"/>
  <c r="U33"/>
  <c r="U40" s="1"/>
  <c r="S33"/>
  <c r="Q32"/>
  <c r="O32"/>
  <c r="M32"/>
  <c r="Q31"/>
  <c r="D31"/>
  <c r="M31" s="1"/>
  <c r="Q30"/>
  <c r="I30"/>
  <c r="I40" s="1"/>
  <c r="I42" s="1"/>
  <c r="D30"/>
  <c r="M30" s="1"/>
  <c r="P28"/>
  <c r="M28"/>
  <c r="D28"/>
  <c r="S27"/>
  <c r="S28" s="1"/>
  <c r="F27"/>
  <c r="U27" s="1"/>
  <c r="M26"/>
  <c r="O25"/>
  <c r="Q25" s="1"/>
  <c r="M25"/>
  <c r="Q23"/>
  <c r="O23"/>
  <c r="M23"/>
  <c r="G23"/>
  <c r="AB22"/>
  <c r="AA22"/>
  <c r="Z20"/>
  <c r="Z22" s="1"/>
  <c r="X20"/>
  <c r="X22" s="1"/>
  <c r="Q16"/>
  <c r="Q12" s="1"/>
  <c r="O16"/>
  <c r="O12" s="1"/>
  <c r="M16"/>
  <c r="M12" s="1"/>
  <c r="I14"/>
  <c r="K14" s="1"/>
  <c r="K12" s="1"/>
  <c r="G14"/>
  <c r="I12"/>
  <c r="G12"/>
  <c r="F12"/>
  <c r="D12"/>
  <c r="Q107" l="1"/>
  <c r="J137"/>
  <c r="J20" s="1"/>
  <c r="F30"/>
  <c r="D96"/>
  <c r="V134"/>
  <c r="F161"/>
  <c r="K41"/>
  <c r="K23" s="1"/>
  <c r="U94"/>
  <c r="U96" s="1"/>
  <c r="O135"/>
  <c r="O137" s="1"/>
  <c r="R165"/>
  <c r="R167" s="1"/>
  <c r="Z151"/>
  <c r="U142"/>
  <c r="M50"/>
  <c r="M52" s="1"/>
  <c r="W48"/>
  <c r="W50" s="1"/>
  <c r="W52" s="1"/>
  <c r="Q62"/>
  <c r="Q64" s="1"/>
  <c r="Q74"/>
  <c r="O74"/>
  <c r="K85"/>
  <c r="K88" s="1"/>
  <c r="V87"/>
  <c r="V88" s="1"/>
  <c r="O128"/>
  <c r="K130"/>
  <c r="K135" s="1"/>
  <c r="K137" s="1"/>
  <c r="O142"/>
  <c r="U128"/>
  <c r="Q40"/>
  <c r="Q42" s="1"/>
  <c r="F83"/>
  <c r="S40"/>
  <c r="S42" s="1"/>
  <c r="F23"/>
  <c r="I50"/>
  <c r="I52" s="1"/>
  <c r="M71"/>
  <c r="M74" s="1"/>
  <c r="F96"/>
  <c r="V100"/>
  <c r="V102" s="1"/>
  <c r="W115"/>
  <c r="W117" s="1"/>
  <c r="W121"/>
  <c r="W122" s="1"/>
  <c r="V133"/>
  <c r="V135" s="1"/>
  <c r="V137" s="1"/>
  <c r="N159"/>
  <c r="O176"/>
  <c r="O159" s="1"/>
  <c r="Z106"/>
  <c r="Z107" s="1"/>
  <c r="O50"/>
  <c r="O52" s="1"/>
  <c r="Q28"/>
  <c r="F28"/>
  <c r="O22"/>
  <c r="Q167"/>
  <c r="AB134"/>
  <c r="AB135" s="1"/>
  <c r="AB137" s="1"/>
  <c r="AA134"/>
  <c r="AA135" s="1"/>
  <c r="AA137" s="1"/>
  <c r="Z135"/>
  <c r="Z137" s="1"/>
  <c r="V27"/>
  <c r="V28" s="1"/>
  <c r="U28"/>
  <c r="W112"/>
  <c r="W113" s="1"/>
  <c r="V113"/>
  <c r="V40"/>
  <c r="V42" s="1"/>
  <c r="U42"/>
  <c r="V60"/>
  <c r="W59"/>
  <c r="W60" s="1"/>
  <c r="Q50"/>
  <c r="Q52" s="1"/>
  <c r="Q60"/>
  <c r="G52"/>
  <c r="G20" s="1"/>
  <c r="G22"/>
  <c r="F164"/>
  <c r="F159"/>
  <c r="AC159" s="1"/>
  <c r="Q135"/>
  <c r="Q137" s="1"/>
  <c r="Q142"/>
  <c r="M40"/>
  <c r="M42" s="1"/>
  <c r="S20"/>
  <c r="S22" s="1"/>
  <c r="M22"/>
  <c r="AC96"/>
  <c r="O107"/>
  <c r="D40"/>
  <c r="D42" s="1"/>
  <c r="I102"/>
  <c r="I20" s="1"/>
  <c r="O161"/>
  <c r="O164" s="1"/>
  <c r="D113"/>
  <c r="U122"/>
  <c r="R166"/>
  <c r="P22"/>
  <c r="O28"/>
  <c r="W63"/>
  <c r="W64" s="1"/>
  <c r="W73"/>
  <c r="W74" s="1"/>
  <c r="V93"/>
  <c r="V94" s="1"/>
  <c r="V96" s="1"/>
  <c r="O102"/>
  <c r="M124"/>
  <c r="M128" s="1"/>
  <c r="M20" s="1"/>
  <c r="AC20" s="1"/>
  <c r="W134"/>
  <c r="P145"/>
  <c r="P147" s="1"/>
  <c r="P20" s="1"/>
  <c r="V150"/>
  <c r="W150" s="1"/>
  <c r="W153" s="1"/>
  <c r="Q176"/>
  <c r="U107"/>
  <c r="K30"/>
  <c r="W34"/>
  <c r="W40" s="1"/>
  <c r="W42" s="1"/>
  <c r="F109"/>
  <c r="Q124"/>
  <c r="Q128" s="1"/>
  <c r="W126"/>
  <c r="W128" s="1"/>
  <c r="AD150"/>
  <c r="AC157" s="1"/>
  <c r="I22"/>
  <c r="O147"/>
  <c r="E159"/>
  <c r="U153"/>
  <c r="U81"/>
  <c r="AB151" l="1"/>
  <c r="AB153" s="1"/>
  <c r="Z153"/>
  <c r="AA151"/>
  <c r="AA153" s="1"/>
  <c r="W100"/>
  <c r="W102" s="1"/>
  <c r="W87"/>
  <c r="W88" s="1"/>
  <c r="F40"/>
  <c r="F42" s="1"/>
  <c r="AC30"/>
  <c r="Q145"/>
  <c r="W133"/>
  <c r="W135" s="1"/>
  <c r="W137" s="1"/>
  <c r="AA106"/>
  <c r="AA107" s="1"/>
  <c r="Q159"/>
  <c r="Q161"/>
  <c r="Q164" s="1"/>
  <c r="W93"/>
  <c r="W94" s="1"/>
  <c r="W96" s="1"/>
  <c r="U83"/>
  <c r="V81"/>
  <c r="V83" s="1"/>
  <c r="V20" s="1"/>
  <c r="V22" s="1"/>
  <c r="F113"/>
  <c r="F22" s="1"/>
  <c r="F20" s="1"/>
  <c r="AC109"/>
  <c r="AD23" s="1"/>
  <c r="AC22"/>
  <c r="O20"/>
  <c r="AD20" s="1"/>
  <c r="AE20" s="1"/>
  <c r="D22"/>
  <c r="D20" s="1"/>
  <c r="K40"/>
  <c r="K42" s="1"/>
  <c r="K20" s="1"/>
  <c r="K22"/>
  <c r="V153"/>
  <c r="AD152"/>
  <c r="AE157" s="1"/>
  <c r="U20"/>
  <c r="U22" s="1"/>
  <c r="AC163"/>
  <c r="W27"/>
  <c r="W28" s="1"/>
  <c r="AE22" l="1"/>
  <c r="AE23" s="1"/>
  <c r="AD22"/>
  <c r="Q147"/>
  <c r="Q20" s="1"/>
  <c r="Q22"/>
  <c r="AB106"/>
  <c r="AB107" s="1"/>
  <c r="W81"/>
  <c r="W83" s="1"/>
  <c r="W20" s="1"/>
  <c r="W22" s="1"/>
</calcChain>
</file>

<file path=xl/sharedStrings.xml><?xml version="1.0" encoding="utf-8"?>
<sst xmlns="http://schemas.openxmlformats.org/spreadsheetml/2006/main" count="326" uniqueCount="190">
  <si>
    <t>№ п/п</t>
  </si>
  <si>
    <t>Наименование объекта</t>
  </si>
  <si>
    <t>Катего-рия</t>
  </si>
  <si>
    <t>ВСЕГО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</si>
  <si>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</si>
  <si>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</si>
  <si>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</si>
  <si>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</si>
  <si>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</si>
  <si>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</si>
  <si>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Протяженность</t>
  </si>
  <si>
    <t xml:space="preserve">  Стоимость, тыс. рублей</t>
  </si>
  <si>
    <t>в том числе</t>
  </si>
  <si>
    <t>пог. м</t>
  </si>
  <si>
    <t>областной бюджет</t>
  </si>
  <si>
    <t>федераль-ный бюджет</t>
  </si>
  <si>
    <t xml:space="preserve">Региональный проект «Региональная и местная дорожная сеть», входящий в национальный проект </t>
  </si>
  <si>
    <t>I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</si>
  <si>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</si>
  <si>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Капитально отремонтировано автодорог</t>
  </si>
  <si>
    <t>Алексеевский муниципальный округ</t>
  </si>
  <si>
    <t>Иващенково - Березки, км 0+000 - км 2+500</t>
  </si>
  <si>
    <t>IV</t>
  </si>
  <si>
    <t xml:space="preserve">«Бирюч - Калиново - Никитовка» - Арнаутово, км 0+000 -  км 2+800 </t>
  </si>
  <si>
    <t>V</t>
  </si>
  <si>
    <t xml:space="preserve">Чернянский район </t>
  </si>
  <si>
    <t>Владимировка - Новоалександровка - Ларисовка, км 0+000 - км 2+300</t>
  </si>
  <si>
    <t>Отремонтировано автомобильных дорог</t>
  </si>
  <si>
    <t xml:space="preserve"> - регионального значения </t>
  </si>
  <si>
    <t xml:space="preserve"> - местного значения</t>
  </si>
  <si>
    <t>ИТОГО по Алексеевскому муниципальному округу</t>
  </si>
  <si>
    <t>Белгородский район</t>
  </si>
  <si>
    <t xml:space="preserve">Разумное - Севрюково - Новосадовый,               км 8+245 - км 14+635 </t>
  </si>
  <si>
    <t>II</t>
  </si>
  <si>
    <t>«Крым» - Комсомольский - Красиво,                 км 0+020 - км 2+975; км 6+670 - км 9+020</t>
  </si>
  <si>
    <t>Стрелецкое - Раково,  км 0+000 -  км 5+050</t>
  </si>
  <si>
    <t xml:space="preserve"> </t>
  </si>
  <si>
    <t>III</t>
  </si>
  <si>
    <t>Долбино - Угрим, км 0+000 - км 2+900</t>
  </si>
  <si>
    <t xml:space="preserve">  </t>
  </si>
  <si>
    <t>Белгород - Шебекино - Волоконовка,               км 6+800  - км 8+280</t>
  </si>
  <si>
    <t>Подъезд к селу Нижний Ольшанец,                   км 0+745 - км 3+650</t>
  </si>
  <si>
    <t xml:space="preserve">Автодороги регионального значения </t>
  </si>
  <si>
    <t>Автодороги местного значения</t>
  </si>
  <si>
    <t>«Белгород - Грайворон» - Козинка,                      км 37+000 - км 42+630</t>
  </si>
  <si>
    <t>Борисовка - Пролетарский - Октябрьская Готня - станция Кулиновка - Красный Куток, км 0+015 - км 4+000</t>
  </si>
  <si>
    <t>Валуйский муниципальный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</si>
  <si>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</si>
  <si>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</si>
  <si>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>«Новый Оскол - Валуйки - Ровеньки» - Принцевка, км 0+032 - км 0+900</t>
  </si>
  <si>
    <t xml:space="preserve">    </t>
  </si>
  <si>
    <t>«Валуйки - Казинка - Вериговка» - Конопляновка» - Гладково,                                км 0+000 - км 4+764</t>
  </si>
  <si>
    <t xml:space="preserve">     </t>
  </si>
  <si>
    <t xml:space="preserve">«Валуйки - Казинка - Вериговка» - Дубровка,    км 0+000 - км 1+600 </t>
  </si>
  <si>
    <t>ИТОГО по Валуйскому муниципальному округу</t>
  </si>
  <si>
    <t>«Новый Оскол - Валуйки - Ровеньки» - Колесников, км 0+000 - км 3+000</t>
  </si>
  <si>
    <t>IV/V</t>
  </si>
  <si>
    <t xml:space="preserve">Долгое - Россошь - Потоловка,                          км 0+000 - км 7+000 </t>
  </si>
  <si>
    <t>Подъезд к селу Грушевка,                                             км 0+000 - км 3+600</t>
  </si>
  <si>
    <t>Подъезд к с. Грушевка</t>
  </si>
  <si>
    <t>Ульяновка - Голофеевка,                                км 0+000 - км 6+600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</si>
  <si>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</si>
  <si>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</si>
  <si>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 xml:space="preserve"> «Волоконовка - Ливенка - Никитовка» - Пыточный - Покровка - Шеншиновка,               км 6+850 - км 14+000</t>
  </si>
  <si>
    <t xml:space="preserve"> «Волоконовка - Ливенка - Никитовка» - Пыточный - Покровка - Шеншиновка,               км 0+000-км 6+850                                                                   </t>
  </si>
  <si>
    <t>Обход п. Пятницкое, км 0+000 - км 5+000</t>
  </si>
  <si>
    <t>Грайворонский городской округ</t>
  </si>
  <si>
    <t>«Головчино - Доброполье» - Горьковский,              км 0+000 - км 1+700</t>
  </si>
  <si>
    <t>ИТОГО по Грайворонскому городскому округу</t>
  </si>
  <si>
    <t>Губкинский городской округ</t>
  </si>
  <si>
    <t>Скородное - Кочки, км 7+100 - км 11+000</t>
  </si>
  <si>
    <t>Короча - Губкин - граница Курской области,   км 23+000 - км 29+000</t>
  </si>
  <si>
    <t>ИТОГО по Губкинскому городскому округу</t>
  </si>
  <si>
    <t>«Крым» - Ивня - Ракитное - Курасовка,             км 0+000 - км 2+300</t>
  </si>
  <si>
    <t>«Короча - Чернянка - Красное» - Бубново - Васильдол, км 0+000 - км 4+100</t>
  </si>
  <si>
    <t>Короча - Губкин - граница Курской области,   км 13+500 -км 19+500</t>
  </si>
  <si>
    <t>Короча - Чернянка - Красное - Новосолдатка, км 0+000 - км 3+900</t>
  </si>
  <si>
    <t>Красное - Польниково, км 0+000 - км 4+200</t>
  </si>
  <si>
    <t>«Красное - Свистовка - Киселевка» - Малиново, км 0+000 - км 2+100</t>
  </si>
  <si>
    <t>«Котляров - Ливенка» - Ковалев,                       км 0+000 - км 4+400</t>
  </si>
  <si>
    <t xml:space="preserve">«Белгород - Новый Оскол - Советское» - Веселое - Николаевский с подъездом к селу Николаевский, км 6+000 - км 11+400 </t>
  </si>
  <si>
    <t>Новооскольский муниципальный округ</t>
  </si>
  <si>
    <r>
      <rPr>
        <sz val="16"/>
        <rFont val="Times New Roman"/>
        <family val="1"/>
        <charset val="204"/>
      </rPr>
      <t>«Белгород - Новый Оскол - Советское» - Богородское,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</si>
  <si>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</si>
  <si>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Прохоровка - Плота - Ржавец - Казачье,                                                           км 25+500 - км 33+100</t>
  </si>
  <si>
    <t>Борисовка - Пролетарский,                                км 27+410 - км 30+230</t>
  </si>
  <si>
    <t xml:space="preserve">   </t>
  </si>
  <si>
    <t>«Томаровка - Красная Яруга -                             Илек-Пеньковка - Колотиловка» - Коровино,   км  6+300 - км 9+800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</si>
  <si>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</si>
  <si>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</si>
  <si>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Старооскольский городской округ</t>
  </si>
  <si>
    <t>Владимировка - Новоалександровка - Ларисовка, км 1+820 - км 8+630</t>
  </si>
  <si>
    <t>Шаталовка - Потудань, км 0+000 - км 6+000</t>
  </si>
  <si>
    <t>Магистраль 1-1, км 15+515 - км 21+515</t>
  </si>
  <si>
    <t>ИТОГО по Старооскольскому городскому округу</t>
  </si>
  <si>
    <t>Красный Остров - Русская Халань,                    км 0+000 - км 3+800</t>
  </si>
  <si>
    <t>«Короча - Чернянка - Красное» - Новая Масловка, км 0+000 - км 5+000</t>
  </si>
  <si>
    <t>Шебекинский муниципальный округ</t>
  </si>
  <si>
    <t>Артельное - Булановка - Бершаково,                 км 0+000 - км 8+320</t>
  </si>
  <si>
    <t>ИТОГО по Шебекинскому муниципальному округу</t>
  </si>
  <si>
    <t>Яковлевский муниципальный округ</t>
  </si>
  <si>
    <t>Жданов - Гостищево, км 0+000 - км 3+230</t>
  </si>
  <si>
    <t>Томаровка - Строитель - «Крым»,                      км 0+000 - км 6+400</t>
  </si>
  <si>
    <t>ИТОГО по Яковлевскому муниципальному округу</t>
  </si>
  <si>
    <t>город Белгород</t>
  </si>
  <si>
    <t>ИТОГО по городу Белгороду</t>
  </si>
  <si>
    <t xml:space="preserve">ВСЕГО  по искусственным сооружениям  </t>
  </si>
  <si>
    <t xml:space="preserve"> - регионального значения, из них: </t>
  </si>
  <si>
    <t xml:space="preserve"> - реконструировано</t>
  </si>
  <si>
    <t xml:space="preserve"> - местного значения, из них: 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</si>
  <si>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</si>
  <si>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>Реконструкция мостового перехода через реку Черная Калитва на км 0+140 автомобильной дороги «Белгород - Новый Оскол - Советское» - Шапорево в Алексевском городском округе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</si>
  <si>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</si>
  <si>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</si>
  <si>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>Капитальный ремонт моста через р. Ворскла    на км 0+250 автомобильной дороги                  Борисовка - Пролетарский</t>
  </si>
  <si>
    <t>Ремонт моста через р. Ворскла на км 0+800 автомобильной дороги Порубежное - Теплое</t>
  </si>
  <si>
    <t>Ремонт моста через р. Валуй на км 1+200 автодороги «Валуйки - Алексеевка -                   Красное» - Филиппово - Верхний Моисей</t>
  </si>
  <si>
    <t>Ремонт моста через р. Ураева на км 100+930 автодороги Новый Оскол - Валуйки - Ровеньки</t>
  </si>
  <si>
    <t xml:space="preserve">Капитальный ремонт путепровода                     через железную дорогу на км 40+700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</si>
  <si>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</si>
  <si>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</si>
  <si>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суходол                              на км 10+600 автодороги Скородное - Кочки </t>
  </si>
  <si>
    <t xml:space="preserve">Ремонт моста через р. Короча на км 0+000       автодороги Подъезд к селу Бехтеевка </t>
  </si>
  <si>
    <t xml:space="preserve">Капитальный ремонт путепровода через железную дорогу на ул. Кооперативная            в городе Новый Оскол </t>
  </si>
  <si>
    <t>Ремонт моста через р.Северский Донец            на км 35+010 а/д Короча - Новая Слободка -Хмелевое - Призначное</t>
  </si>
  <si>
    <t>Подъезд к п. Новосадовый, км 0+010 -               км 1+410</t>
  </si>
  <si>
    <t>«Еремовка - Ровеньки - Нижняя Серебрянка» - Верхняя Серебрянка, км 0+000 - км 3+500</t>
  </si>
  <si>
    <t>Нагорье - Ржевка - граница Воронежской области, км 0+000 - км 2+900</t>
  </si>
  <si>
    <t>Сапрыкино - Орлик, км 4+700 - км 7+500</t>
  </si>
  <si>
    <t>Гезов - Хлевище - Попасный - Мирный,            0+000 - км 7+606</t>
  </si>
  <si>
    <t xml:space="preserve">«Томаровка -Красная Яруга -                              Илек-Пеньковка - Колотиловка» - Коровино,   км 0+050 - км 6+300 </t>
  </si>
  <si>
    <t>Великомихайловка - Подвислое,                         км 0+018 - км 2+800</t>
  </si>
  <si>
    <t>Валуйки - Пристень - Борки,                                                   км 4+100 - км 8+187</t>
  </si>
  <si>
    <t>«Юго - Западный -2» - Комсомольский,               км 6+500 - км 7+900</t>
  </si>
  <si>
    <t>Протяжен-ность</t>
  </si>
  <si>
    <t>област-ной бюджет</t>
  </si>
  <si>
    <t>муници-пальный бюджет</t>
  </si>
  <si>
    <t xml:space="preserve">Беломестное - Слоновка - Николаевка - Львовка, км 0+000 - км 12+020;  км 23+485 -                      км 25+215                                       </t>
  </si>
  <si>
    <t>Артельное - Белый Колодезь - Караичное - Верхнеберезово, км 12+914 - км 18+000</t>
  </si>
  <si>
    <t>«Белгород - Новый Оскол - Советское» - Замостье, км 0+000 - км 2+100</t>
  </si>
  <si>
    <t>«Камызино - Новоуколово - Владимировка - Обуховка» - Ураково, км 0+000 - км 1+200</t>
  </si>
  <si>
    <t xml:space="preserve">Новый Оскол - Ниновка, км 0+000 -                                км 2+226 </t>
  </si>
  <si>
    <t>Борисовка - Пролетарский,                                                      км 6+000 - км 9+500</t>
  </si>
  <si>
    <t>Магистраль 1-1, км 8+00 - км 15+515</t>
  </si>
  <si>
    <t>Шаталовка - Луганка - Боровая - Высокий,                                                               км 2+255 - км 8+255</t>
  </si>
  <si>
    <t>Приложение  № 1     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           и дорожной сети Белгородской области»</t>
  </si>
  <si>
    <t>Перечень объектов по ремонту  автомобильных дорог и искусственных сооружений на них на 2025 - 2027 годы в рамках регионального проекта «Региональная и местная дорожная сеть»</t>
  </si>
  <si>
    <t>Подольхи - Гнездиловка - Черновка,                 км 8+300 - км 11+800 - 2025 год;                              км 0+000 - км 8+300 - 2026 год</t>
  </si>
  <si>
    <t>Ивня - Песчаное - Череново,                                     км 0+000 - км 3+070 - 2025 год;                                      км 3+070 - км 7+370 - 2026 год</t>
  </si>
  <si>
    <t>Иловка - граница Воронежской области,             км 0+000 - км 7+069</t>
  </si>
  <si>
    <t xml:space="preserve">Таврово - Соломино - Разумное,                           км 0+000 - км 3+000 </t>
  </si>
  <si>
    <t xml:space="preserve">Таврово - Соломино - Разумное,                           км 3+000 - км 4+600 </t>
  </si>
  <si>
    <t>Стригуны - Зыбино - Крюково,                                              км 3+500 - км 4+000</t>
  </si>
  <si>
    <t>Стригуны - Зыбино - Крюково,                                               км 3+000 - км 3+500; км 4+000 - км 10+000</t>
  </si>
  <si>
    <r>
      <t>«Белгород - Новый Оскол - Советское» - Айдар, км 0+000 - км 4+700</t>
    </r>
    <r>
      <rPr>
        <b/>
        <sz val="10"/>
        <rFont val="Times New Roman"/>
        <family val="1"/>
        <charset val="204"/>
      </rPr>
      <t xml:space="preserve"> </t>
    </r>
  </si>
  <si>
    <t>Борисовка - Пролетарский,                                                      км 11+952 - км 16+200</t>
  </si>
  <si>
    <t>«Крым» - Новоселовка-Первая, км 0+000 -         км 1+000</t>
  </si>
  <si>
    <t>«Короча - Новая Слободка - Хмелевое - Подольхи - Призначное» - Холодное,                  км 0+000 - км 1+500</t>
  </si>
  <si>
    <t xml:space="preserve">«Белгород - Новый Оскол - Советское» - Веселое - Николаевский с подъездом к селу Николаевский, км 11+400 - км 17+500 </t>
  </si>
  <si>
    <t>резерв на автодороги местного значения</t>
  </si>
  <si>
    <t>Красногвардейский муниципальный округ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</si>
  <si>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</si>
  <si>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</si>
  <si>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</si>
  <si>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</si>
  <si>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Вейделевский  муниципальный округ</t>
  </si>
  <si>
    <t>ИТОГО по Вейделевскому  муниципальному округу</t>
  </si>
  <si>
    <t>Волоконовский муниципальный округ</t>
  </si>
  <si>
    <t>ИТОГО по Волоконовскому муниципальному округу</t>
  </si>
  <si>
    <t>Ивнянский муниципальный округ</t>
  </si>
  <si>
    <t xml:space="preserve">ИТОГО по Ивнянскому муниципальному округу </t>
  </si>
  <si>
    <t>Корочанский муниципальный округ</t>
  </si>
  <si>
    <t>ИТОГО по Корочанскому муниципальному округу</t>
  </si>
  <si>
    <t>Красненский муниципальный округ</t>
  </si>
  <si>
    <t>ИТОГО по Красненскому муниципальному округу</t>
  </si>
  <si>
    <t>ИТОГО по Красногвардейскому муниципальному округу</t>
  </si>
  <si>
    <t>ИТОГО по Прохоровскому муниципальному округу</t>
  </si>
  <si>
    <t>Прохоровский  муниципальный округ</t>
  </si>
  <si>
    <t>Ракитянский муниципальный округ</t>
  </si>
  <si>
    <t>ИТОГО по Ракитянскому муниципальному округу</t>
  </si>
  <si>
    <t>Ровеньский муниципальный округ</t>
  </si>
  <si>
    <t>ИТОГО по Ровеньскому муниципальному округу</t>
  </si>
  <si>
    <t>Чернянский муниципальный округ</t>
  </si>
  <si>
    <t>ИТОГО по Чернянскому муниципальному округу</t>
  </si>
  <si>
    <t>Вейделевский муниципальный округ</t>
  </si>
  <si>
    <t>Прохоровский муниципальный округ</t>
  </si>
  <si>
    <t xml:space="preserve">«Бутово - Курская Дуга» - Крестов - Триречное, км 0+000 - км 5+000 </t>
  </si>
  <si>
    <t xml:space="preserve">ВСЕГО  по автодорогам </t>
  </si>
  <si>
    <t>капитально отремонтировано</t>
  </si>
  <si>
    <t>отремонтировано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</si>
</sst>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00"/>
    <numFmt numFmtId="166" formatCode="#,##0.000_р_."/>
    <numFmt numFmtId="167" formatCode="0.00000"/>
    <numFmt numFmtId="168" formatCode="0.000"/>
    <numFmt numFmtId="169" formatCode="0.0"/>
    <numFmt numFmtId="170" formatCode="#,##0.0_р_."/>
    <numFmt numFmtId="171" formatCode="#,##0.0;[Red]#,##0.0"/>
    <numFmt numFmtId="172" formatCode="#,##0.00000"/>
    <numFmt numFmtId="173" formatCode="#,##0.0000"/>
  </numFmts>
  <fonts count="21">
    <font>
      <sz val="10"/>
      <name val="Arial Cyr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194">
    <xf numFmtId="0" fontId="0" fillId="0" borderId="0" xfId="0"/>
    <xf numFmtId="0" fontId="5" fillId="0" borderId="0" xfId="12" applyFont="1" applyAlignment="1" applyProtection="1">
      <alignment horizontal="center"/>
    </xf>
    <xf numFmtId="0" fontId="5" fillId="0" borderId="0" xfId="12" applyFont="1" applyAlignment="1" applyProtection="1"/>
    <xf numFmtId="0" fontId="6" fillId="0" borderId="0" xfId="12" applyFont="1" applyAlignment="1" applyProtection="1">
      <alignment horizontal="center"/>
    </xf>
    <xf numFmtId="0" fontId="6" fillId="0" borderId="0" xfId="12" applyFont="1" applyAlignment="1" applyProtection="1"/>
    <xf numFmtId="0" fontId="7" fillId="0" borderId="0" xfId="12" applyFont="1" applyAlignment="1" applyProtection="1"/>
    <xf numFmtId="164" fontId="6" fillId="0" borderId="0" xfId="12" applyNumberFormat="1" applyFont="1" applyAlignment="1" applyProtection="1"/>
    <xf numFmtId="0" fontId="7" fillId="0" borderId="0" xfId="12" applyFont="1" applyAlignment="1" applyProtection="1">
      <alignment horizontal="center"/>
    </xf>
    <xf numFmtId="0" fontId="4" fillId="0" borderId="0" xfId="12" applyFont="1" applyAlignment="1" applyProtection="1"/>
    <xf numFmtId="0" fontId="4" fillId="0" borderId="0" xfId="12" applyFont="1" applyBorder="1" applyAlignment="1" applyProtection="1"/>
    <xf numFmtId="0" fontId="6" fillId="0" borderId="0" xfId="12" applyFont="1" applyBorder="1" applyAlignment="1" applyProtection="1"/>
    <xf numFmtId="0" fontId="7" fillId="0" borderId="4" xfId="12" applyFont="1" applyBorder="1" applyAlignment="1" applyProtection="1">
      <alignment horizontal="center" vertical="center"/>
    </xf>
    <xf numFmtId="0" fontId="8" fillId="0" borderId="13" xfId="12" applyFont="1" applyBorder="1" applyAlignment="1" applyProtection="1">
      <alignment horizontal="center" vertical="top" wrapText="1"/>
    </xf>
    <xf numFmtId="0" fontId="13" fillId="0" borderId="5" xfId="0" applyFont="1" applyBorder="1" applyAlignment="1" applyProtection="1">
      <alignment horizontal="left" vertical="top" wrapText="1"/>
    </xf>
    <xf numFmtId="164" fontId="8" fillId="0" borderId="6" xfId="12" applyNumberFormat="1" applyFont="1" applyBorder="1" applyAlignment="1" applyProtection="1">
      <alignment horizontal="center" vertical="center" wrapText="1"/>
    </xf>
    <xf numFmtId="0" fontId="14" fillId="0" borderId="13" xfId="12" applyFont="1" applyBorder="1" applyAlignment="1" applyProtection="1">
      <alignment horizontal="center" vertical="top" wrapText="1"/>
    </xf>
    <xf numFmtId="0" fontId="14" fillId="0" borderId="5" xfId="12" applyFont="1" applyBorder="1" applyAlignment="1" applyProtection="1">
      <alignment horizontal="center" vertical="center" wrapText="1"/>
    </xf>
    <xf numFmtId="165" fontId="14" fillId="0" borderId="5" xfId="12" applyNumberFormat="1" applyFont="1" applyBorder="1" applyAlignment="1" applyProtection="1">
      <alignment horizontal="center" vertical="center" wrapText="1"/>
    </xf>
    <xf numFmtId="164" fontId="14" fillId="0" borderId="5" xfId="12" applyNumberFormat="1" applyFont="1" applyBorder="1" applyAlignment="1" applyProtection="1">
      <alignment horizontal="center" vertical="center" wrapText="1"/>
    </xf>
    <xf numFmtId="0" fontId="8" fillId="0" borderId="5" xfId="12" applyFont="1" applyBorder="1" applyAlignment="1" applyProtection="1">
      <alignment horizontal="left" vertical="center" wrapText="1"/>
    </xf>
    <xf numFmtId="0" fontId="14" fillId="0" borderId="5" xfId="0" applyFont="1" applyBorder="1" applyAlignment="1" applyProtection="1">
      <alignment vertical="top" wrapText="1"/>
    </xf>
    <xf numFmtId="0" fontId="0" fillId="0" borderId="5" xfId="0" applyBorder="1" applyAlignment="1" applyProtection="1"/>
    <xf numFmtId="166" fontId="14" fillId="0" borderId="5" xfId="12" applyNumberFormat="1" applyFont="1" applyBorder="1" applyAlignment="1" applyProtection="1">
      <alignment horizontal="center" vertical="center" wrapText="1"/>
    </xf>
    <xf numFmtId="164" fontId="13" fillId="0" borderId="5" xfId="0" applyNumberFormat="1" applyFont="1" applyBorder="1" applyAlignment="1" applyProtection="1">
      <alignment horizontal="left" vertical="top" wrapText="1"/>
    </xf>
    <xf numFmtId="0" fontId="7" fillId="0" borderId="13" xfId="12" applyFont="1" applyBorder="1" applyAlignment="1" applyProtection="1">
      <alignment horizontal="center" wrapText="1"/>
    </xf>
    <xf numFmtId="0" fontId="12" fillId="0" borderId="14" xfId="0" applyFont="1" applyBorder="1" applyAlignment="1" applyProtection="1">
      <alignment vertical="center" wrapText="1"/>
    </xf>
    <xf numFmtId="0" fontId="14" fillId="0" borderId="5" xfId="12" applyFont="1" applyBorder="1" applyAlignment="1" applyProtection="1"/>
    <xf numFmtId="0" fontId="14" fillId="0" borderId="0" xfId="12" applyFont="1" applyAlignment="1" applyProtection="1">
      <alignment vertical="center" wrapText="1"/>
    </xf>
    <xf numFmtId="3" fontId="8" fillId="0" borderId="5" xfId="12" applyNumberFormat="1" applyFont="1" applyBorder="1" applyAlignment="1" applyProtection="1">
      <alignment horizontal="center" vertical="center" wrapText="1"/>
    </xf>
    <xf numFmtId="165" fontId="8" fillId="0" borderId="5" xfId="12" applyNumberFormat="1" applyFont="1" applyBorder="1" applyAlignment="1" applyProtection="1">
      <alignment horizontal="center" vertical="center" wrapText="1"/>
    </xf>
    <xf numFmtId="164" fontId="8" fillId="0" borderId="14" xfId="12" applyNumberFormat="1" applyFont="1" applyBorder="1" applyAlignment="1" applyProtection="1">
      <alignment horizontal="center" vertical="center" wrapText="1"/>
    </xf>
    <xf numFmtId="164" fontId="14" fillId="0" borderId="0" xfId="12" applyNumberFormat="1" applyFont="1" applyAlignment="1" applyProtection="1">
      <alignment vertical="center" wrapText="1"/>
    </xf>
    <xf numFmtId="164" fontId="8" fillId="0" borderId="0" xfId="12" applyNumberFormat="1" applyFont="1" applyBorder="1" applyAlignment="1" applyProtection="1">
      <alignment horizontal="center" vertical="center" wrapText="1"/>
    </xf>
    <xf numFmtId="164" fontId="14" fillId="0" borderId="5" xfId="12" applyNumberFormat="1" applyFont="1" applyBorder="1" applyAlignment="1" applyProtection="1"/>
    <xf numFmtId="0" fontId="12" fillId="0" borderId="5" xfId="0" applyFont="1" applyBorder="1" applyAlignment="1" applyProtection="1">
      <alignment vertical="center" wrapText="1"/>
    </xf>
    <xf numFmtId="164" fontId="14" fillId="0" borderId="6" xfId="12" applyNumberFormat="1" applyFont="1" applyBorder="1" applyAlignment="1" applyProtection="1">
      <alignment horizontal="center" vertical="center" wrapText="1"/>
    </xf>
    <xf numFmtId="164" fontId="14" fillId="0" borderId="14" xfId="12" applyNumberFormat="1" applyFont="1" applyBorder="1" applyAlignment="1" applyProtection="1">
      <alignment horizontal="center" vertical="center" wrapText="1"/>
    </xf>
    <xf numFmtId="3" fontId="14" fillId="0" borderId="5" xfId="12" applyNumberFormat="1" applyFont="1" applyBorder="1" applyAlignment="1" applyProtection="1">
      <alignment horizontal="center" vertical="center" wrapText="1"/>
    </xf>
    <xf numFmtId="170" fontId="14" fillId="0" borderId="5" xfId="11" applyNumberFormat="1" applyFont="1" applyBorder="1" applyAlignment="1" applyProtection="1">
      <alignment horizontal="center" vertical="center" wrapText="1"/>
    </xf>
    <xf numFmtId="0" fontId="14" fillId="0" borderId="5" xfId="12" applyFont="1" applyBorder="1" applyAlignment="1" applyProtection="1">
      <alignment vertical="center" wrapText="1"/>
    </xf>
    <xf numFmtId="3" fontId="14" fillId="0" borderId="14" xfId="12" applyNumberFormat="1" applyFont="1" applyBorder="1" applyAlignment="1" applyProtection="1">
      <alignment horizontal="center" vertical="center" wrapText="1"/>
    </xf>
    <xf numFmtId="0" fontId="6" fillId="0" borderId="0" xfId="12" applyFont="1" applyAlignment="1" applyProtection="1">
      <alignment vertical="center" wrapText="1"/>
    </xf>
    <xf numFmtId="164" fontId="13" fillId="0" borderId="5" xfId="0" applyNumberFormat="1" applyFont="1" applyBorder="1" applyAlignment="1" applyProtection="1">
      <alignment horizontal="center" vertical="center" wrapText="1"/>
    </xf>
    <xf numFmtId="164" fontId="6" fillId="0" borderId="0" xfId="12" applyNumberFormat="1" applyFont="1" applyAlignment="1" applyProtection="1">
      <alignment vertical="center" wrapText="1"/>
    </xf>
    <xf numFmtId="3" fontId="8" fillId="0" borderId="14" xfId="12" applyNumberFormat="1" applyFont="1" applyBorder="1" applyAlignment="1" applyProtection="1">
      <alignment horizontal="center" vertical="center" wrapText="1"/>
    </xf>
    <xf numFmtId="0" fontId="6" fillId="0" borderId="5" xfId="12" applyFont="1" applyBorder="1" applyAlignment="1" applyProtection="1">
      <alignment vertical="center" wrapText="1"/>
    </xf>
    <xf numFmtId="0" fontId="5" fillId="0" borderId="0" xfId="12" applyFont="1" applyAlignment="1" applyProtection="1">
      <alignment vertical="center" wrapText="1"/>
    </xf>
    <xf numFmtId="0" fontId="14" fillId="0" borderId="8" xfId="12" applyFont="1" applyBorder="1" applyAlignment="1" applyProtection="1">
      <alignment horizontal="center" vertical="top" wrapText="1"/>
    </xf>
    <xf numFmtId="164" fontId="14" fillId="0" borderId="9" xfId="12" applyNumberFormat="1" applyFont="1" applyBorder="1" applyAlignment="1" applyProtection="1">
      <alignment horizontal="center" vertical="center" wrapText="1"/>
    </xf>
    <xf numFmtId="0" fontId="5" fillId="0" borderId="19" xfId="12" applyFont="1" applyBorder="1" applyAlignment="1" applyProtection="1">
      <alignment vertical="center" wrapText="1"/>
    </xf>
    <xf numFmtId="170" fontId="8" fillId="0" borderId="19" xfId="12" applyNumberFormat="1" applyFont="1" applyBorder="1" applyAlignment="1" applyProtection="1">
      <alignment horizontal="center" vertical="center" wrapText="1"/>
    </xf>
    <xf numFmtId="0" fontId="18" fillId="0" borderId="19" xfId="12" applyFont="1" applyBorder="1" applyAlignment="1" applyProtection="1">
      <alignment vertical="center" wrapText="1"/>
    </xf>
    <xf numFmtId="171" fontId="8" fillId="0" borderId="19" xfId="0" applyNumberFormat="1" applyFont="1" applyBorder="1" applyAlignment="1" applyProtection="1">
      <alignment horizontal="center" vertical="center"/>
    </xf>
    <xf numFmtId="0" fontId="5" fillId="0" borderId="20" xfId="12" applyFont="1" applyBorder="1" applyAlignment="1" applyProtection="1">
      <alignment vertical="center" wrapText="1"/>
    </xf>
    <xf numFmtId="0" fontId="5" fillId="0" borderId="12" xfId="12" applyFont="1" applyBorder="1" applyAlignment="1" applyProtection="1">
      <alignment vertical="center" wrapText="1"/>
    </xf>
    <xf numFmtId="0" fontId="5" fillId="0" borderId="0" xfId="12" applyFont="1" applyAlignment="1" applyProtection="1">
      <alignment horizontal="center" vertical="center" wrapText="1"/>
    </xf>
    <xf numFmtId="164" fontId="8" fillId="0" borderId="5" xfId="12" applyNumberFormat="1" applyFont="1" applyBorder="1" applyAlignment="1" applyProtection="1">
      <alignment horizontal="center" wrapText="1"/>
    </xf>
    <xf numFmtId="0" fontId="14" fillId="0" borderId="5" xfId="12" applyFont="1" applyFill="1" applyBorder="1" applyAlignment="1" applyProtection="1">
      <alignment horizontal="left" vertical="center" wrapText="1"/>
    </xf>
    <xf numFmtId="0" fontId="10" fillId="0" borderId="8" xfId="12" applyFont="1" applyBorder="1" applyAlignment="1" applyProtection="1">
      <alignment horizontal="center" vertical="center"/>
    </xf>
    <xf numFmtId="0" fontId="10" fillId="0" borderId="9" xfId="12" applyFont="1" applyBorder="1" applyAlignment="1" applyProtection="1">
      <alignment horizontal="center" vertical="center"/>
    </xf>
    <xf numFmtId="0" fontId="10" fillId="0" borderId="10" xfId="12" applyFont="1" applyBorder="1" applyAlignment="1" applyProtection="1">
      <alignment horizontal="center" vertical="center"/>
    </xf>
    <xf numFmtId="0" fontId="10" fillId="0" borderId="11" xfId="12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vertical="center" wrapText="1"/>
    </xf>
    <xf numFmtId="0" fontId="13" fillId="0" borderId="14" xfId="0" applyFont="1" applyBorder="1" applyAlignment="1" applyProtection="1">
      <alignment horizontal="left" vertical="top" wrapText="1"/>
    </xf>
    <xf numFmtId="164" fontId="8" fillId="0" borderId="5" xfId="12" applyNumberFormat="1" applyFont="1" applyBorder="1" applyAlignment="1" applyProtection="1">
      <alignment horizontal="center" vertical="center" wrapText="1"/>
    </xf>
    <xf numFmtId="164" fontId="13" fillId="0" borderId="14" xfId="0" applyNumberFormat="1" applyFont="1" applyBorder="1" applyAlignment="1" applyProtection="1">
      <alignment horizontal="center" vertical="center" wrapText="1"/>
    </xf>
    <xf numFmtId="164" fontId="17" fillId="0" borderId="14" xfId="0" applyNumberFormat="1" applyFont="1" applyBorder="1" applyAlignment="1" applyProtection="1">
      <alignment horizontal="center" vertical="center" wrapText="1"/>
    </xf>
    <xf numFmtId="0" fontId="4" fillId="0" borderId="5" xfId="12" applyFont="1" applyBorder="1" applyAlignment="1" applyProtection="1"/>
    <xf numFmtId="0" fontId="6" fillId="0" borderId="5" xfId="12" applyFont="1" applyBorder="1" applyAlignment="1" applyProtection="1"/>
    <xf numFmtId="164" fontId="4" fillId="0" borderId="5" xfId="12" applyNumberFormat="1" applyFont="1" applyBorder="1" applyAlignment="1" applyProtection="1"/>
    <xf numFmtId="167" fontId="4" fillId="0" borderId="5" xfId="12" applyNumberFormat="1" applyFont="1" applyBorder="1" applyAlignment="1" applyProtection="1"/>
    <xf numFmtId="164" fontId="14" fillId="0" borderId="5" xfId="12" applyNumberFormat="1" applyFont="1" applyBorder="1" applyAlignment="1" applyProtection="1">
      <alignment vertical="center" wrapText="1"/>
    </xf>
    <xf numFmtId="164" fontId="6" fillId="0" borderId="5" xfId="12" applyNumberFormat="1" applyFont="1" applyBorder="1" applyAlignment="1" applyProtection="1">
      <alignment vertical="center" wrapText="1"/>
    </xf>
    <xf numFmtId="164" fontId="10" fillId="0" borderId="5" xfId="12" applyNumberFormat="1" applyFont="1" applyBorder="1" applyAlignment="1" applyProtection="1">
      <alignment vertical="center" wrapText="1"/>
    </xf>
    <xf numFmtId="0" fontId="7" fillId="0" borderId="0" xfId="12" applyFont="1" applyBorder="1" applyAlignment="1" applyProtection="1">
      <alignment horizontal="center"/>
    </xf>
    <xf numFmtId="0" fontId="6" fillId="0" borderId="6" xfId="12" applyFont="1" applyBorder="1" applyAlignment="1" applyProtection="1"/>
    <xf numFmtId="0" fontId="14" fillId="0" borderId="6" xfId="12" applyFont="1" applyBorder="1" applyAlignment="1" applyProtection="1">
      <alignment vertical="center" wrapText="1"/>
    </xf>
    <xf numFmtId="0" fontId="6" fillId="0" borderId="6" xfId="12" applyFont="1" applyBorder="1" applyAlignment="1" applyProtection="1">
      <alignment vertical="center" wrapText="1"/>
    </xf>
    <xf numFmtId="164" fontId="14" fillId="0" borderId="6" xfId="12" applyNumberFormat="1" applyFont="1" applyBorder="1" applyAlignment="1" applyProtection="1">
      <alignment vertical="center" wrapText="1"/>
    </xf>
    <xf numFmtId="0" fontId="14" fillId="0" borderId="24" xfId="0" applyFont="1" applyBorder="1" applyAlignment="1" applyProtection="1">
      <alignment horizontal="left" vertical="center" wrapText="1"/>
    </xf>
    <xf numFmtId="0" fontId="0" fillId="0" borderId="9" xfId="0" applyBorder="1" applyAlignment="1" applyProtection="1"/>
    <xf numFmtId="0" fontId="6" fillId="0" borderId="9" xfId="12" applyFont="1" applyBorder="1" applyAlignment="1" applyProtection="1">
      <alignment vertical="center" wrapText="1"/>
    </xf>
    <xf numFmtId="164" fontId="8" fillId="0" borderId="9" xfId="12" applyNumberFormat="1" applyFont="1" applyBorder="1" applyAlignment="1" applyProtection="1">
      <alignment horizontal="center" vertical="center" wrapText="1"/>
    </xf>
    <xf numFmtId="165" fontId="8" fillId="0" borderId="9" xfId="12" applyNumberFormat="1" applyFont="1" applyBorder="1" applyAlignment="1" applyProtection="1">
      <alignment horizontal="center" vertical="center" wrapText="1"/>
    </xf>
    <xf numFmtId="3" fontId="8" fillId="0" borderId="9" xfId="12" applyNumberFormat="1" applyFont="1" applyBorder="1" applyAlignment="1" applyProtection="1">
      <alignment horizontal="center" vertical="center" wrapText="1"/>
    </xf>
    <xf numFmtId="3" fontId="8" fillId="0" borderId="10" xfId="12" applyNumberFormat="1" applyFont="1" applyBorder="1" applyAlignment="1" applyProtection="1">
      <alignment horizontal="center" vertical="center" wrapText="1"/>
    </xf>
    <xf numFmtId="0" fontId="6" fillId="0" borderId="11" xfId="12" applyFont="1" applyBorder="1" applyAlignment="1" applyProtection="1">
      <alignment vertical="center" wrapText="1"/>
    </xf>
    <xf numFmtId="0" fontId="14" fillId="0" borderId="13" xfId="12" applyFont="1" applyFill="1" applyBorder="1" applyAlignment="1" applyProtection="1">
      <alignment horizontal="center" vertical="top" wrapText="1"/>
    </xf>
    <xf numFmtId="0" fontId="14" fillId="0" borderId="5" xfId="12" applyFont="1" applyFill="1" applyBorder="1" applyAlignment="1" applyProtection="1">
      <alignment horizontal="center" vertical="center" wrapText="1"/>
    </xf>
    <xf numFmtId="165" fontId="14" fillId="0" borderId="5" xfId="12" applyNumberFormat="1" applyFont="1" applyFill="1" applyBorder="1" applyAlignment="1" applyProtection="1">
      <alignment horizontal="center" vertical="center" wrapText="1"/>
    </xf>
    <xf numFmtId="164" fontId="14" fillId="0" borderId="5" xfId="12" applyNumberFormat="1" applyFont="1" applyFill="1" applyBorder="1" applyAlignment="1" applyProtection="1">
      <alignment horizontal="center" vertical="center" wrapText="1"/>
    </xf>
    <xf numFmtId="164" fontId="8" fillId="0" borderId="14" xfId="12" applyNumberFormat="1" applyFont="1" applyFill="1" applyBorder="1" applyAlignment="1" applyProtection="1">
      <alignment horizontal="center" vertical="center" wrapText="1"/>
    </xf>
    <xf numFmtId="164" fontId="14" fillId="0" borderId="14" xfId="12" applyNumberFormat="1" applyFont="1" applyFill="1" applyBorder="1" applyAlignment="1" applyProtection="1">
      <alignment horizontal="center" vertical="center" wrapText="1"/>
    </xf>
    <xf numFmtId="166" fontId="14" fillId="0" borderId="5" xfId="11" applyNumberFormat="1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</xf>
    <xf numFmtId="169" fontId="14" fillId="0" borderId="5" xfId="12" applyNumberFormat="1" applyFont="1" applyFill="1" applyBorder="1" applyAlignment="1" applyProtection="1">
      <alignment horizontal="center" vertical="center" wrapText="1"/>
    </xf>
    <xf numFmtId="169" fontId="8" fillId="0" borderId="5" xfId="12" applyNumberFormat="1" applyFont="1" applyFill="1" applyBorder="1" applyAlignment="1" applyProtection="1">
      <alignment horizontal="center" vertical="center" wrapText="1"/>
    </xf>
    <xf numFmtId="0" fontId="14" fillId="0" borderId="13" xfId="12" applyFont="1" applyFill="1" applyBorder="1" applyAlignment="1" applyProtection="1">
      <alignment horizontal="center" wrapText="1"/>
    </xf>
    <xf numFmtId="170" fontId="14" fillId="0" borderId="5" xfId="11" applyNumberFormat="1" applyFont="1" applyFill="1" applyBorder="1" applyAlignment="1" applyProtection="1">
      <alignment horizontal="center" vertical="center" wrapText="1"/>
    </xf>
    <xf numFmtId="164" fontId="14" fillId="0" borderId="5" xfId="11" applyNumberFormat="1" applyFont="1" applyFill="1" applyBorder="1" applyAlignment="1" applyProtection="1">
      <alignment horizontal="center" vertical="center" wrapText="1"/>
    </xf>
    <xf numFmtId="166" fontId="14" fillId="0" borderId="5" xfId="12" applyNumberFormat="1" applyFont="1" applyFill="1" applyBorder="1" applyAlignment="1" applyProtection="1">
      <alignment horizontal="center" vertical="center" wrapText="1"/>
    </xf>
    <xf numFmtId="4" fontId="14" fillId="0" borderId="5" xfId="12" applyNumberFormat="1" applyFont="1" applyFill="1" applyBorder="1" applyAlignment="1" applyProtection="1">
      <alignment horizontal="center" vertical="center" wrapText="1"/>
    </xf>
    <xf numFmtId="168" fontId="14" fillId="0" borderId="5" xfId="12" applyNumberFormat="1" applyFont="1" applyFill="1" applyBorder="1" applyAlignment="1" applyProtection="1">
      <alignment horizontal="center" vertical="center" wrapText="1"/>
    </xf>
    <xf numFmtId="172" fontId="14" fillId="0" borderId="5" xfId="12" applyNumberFormat="1" applyFont="1" applyFill="1" applyBorder="1" applyAlignment="1" applyProtection="1">
      <alignment horizontal="center" vertical="center" wrapText="1"/>
    </xf>
    <xf numFmtId="0" fontId="14" fillId="0" borderId="13" xfId="12" applyFont="1" applyFill="1" applyBorder="1" applyAlignment="1" applyProtection="1">
      <alignment horizontal="center" vertical="center" wrapText="1"/>
    </xf>
    <xf numFmtId="170" fontId="14" fillId="0" borderId="5" xfId="12" applyNumberFormat="1" applyFont="1" applyFill="1" applyBorder="1" applyAlignment="1" applyProtection="1">
      <alignment horizontal="center" vertical="center" wrapText="1"/>
    </xf>
    <xf numFmtId="169" fontId="14" fillId="0" borderId="5" xfId="0" applyNumberFormat="1" applyFont="1" applyFill="1" applyBorder="1" applyAlignment="1" applyProtection="1">
      <alignment horizontal="left" vertical="center" wrapText="1"/>
    </xf>
    <xf numFmtId="166" fontId="8" fillId="0" borderId="5" xfId="12" applyNumberFormat="1" applyFont="1" applyFill="1" applyBorder="1" applyAlignment="1" applyProtection="1">
      <alignment horizontal="center" vertical="center" wrapText="1"/>
    </xf>
    <xf numFmtId="170" fontId="8" fillId="0" borderId="5" xfId="12" applyNumberFormat="1" applyFont="1" applyFill="1" applyBorder="1" applyAlignment="1" applyProtection="1">
      <alignment horizontal="center" vertical="center" wrapText="1"/>
    </xf>
    <xf numFmtId="165" fontId="8" fillId="0" borderId="5" xfId="12" applyNumberFormat="1" applyFont="1" applyFill="1" applyBorder="1" applyAlignment="1" applyProtection="1">
      <alignment horizontal="center" vertical="center" wrapText="1"/>
    </xf>
    <xf numFmtId="0" fontId="14" fillId="0" borderId="5" xfId="12" applyFont="1" applyFill="1" applyBorder="1" applyAlignment="1" applyProtection="1">
      <alignment vertical="center" wrapText="1"/>
    </xf>
    <xf numFmtId="169" fontId="14" fillId="0" borderId="12" xfId="0" applyNumberFormat="1" applyFont="1" applyFill="1" applyBorder="1" applyAlignment="1" applyProtection="1">
      <alignment horizontal="left" vertical="center" wrapText="1"/>
    </xf>
    <xf numFmtId="165" fontId="14" fillId="0" borderId="12" xfId="12" applyNumberFormat="1" applyFont="1" applyFill="1" applyBorder="1" applyAlignment="1" applyProtection="1">
      <alignment horizontal="center" vertical="center" wrapText="1"/>
    </xf>
    <xf numFmtId="0" fontId="8" fillId="0" borderId="14" xfId="10" applyFont="1" applyFill="1" applyBorder="1" applyAlignment="1" applyProtection="1">
      <alignment horizontal="center" vertical="center" wrapText="1"/>
    </xf>
    <xf numFmtId="3" fontId="14" fillId="0" borderId="5" xfId="12" applyNumberFormat="1" applyFont="1" applyFill="1" applyBorder="1" applyAlignment="1" applyProtection="1">
      <alignment horizontal="center" vertical="center" wrapText="1"/>
    </xf>
    <xf numFmtId="3" fontId="14" fillId="0" borderId="14" xfId="12" applyNumberFormat="1" applyFont="1" applyFill="1" applyBorder="1" applyAlignment="1" applyProtection="1">
      <alignment horizontal="center" vertical="center" wrapText="1"/>
    </xf>
    <xf numFmtId="168" fontId="8" fillId="0" borderId="5" xfId="12" applyNumberFormat="1" applyFont="1" applyFill="1" applyBorder="1" applyAlignment="1" applyProtection="1">
      <alignment horizontal="center" vertical="center" wrapText="1"/>
    </xf>
    <xf numFmtId="168" fontId="8" fillId="0" borderId="14" xfId="12" applyNumberFormat="1" applyFont="1" applyFill="1" applyBorder="1" applyAlignment="1" applyProtection="1">
      <alignment horizontal="center" vertical="center" wrapText="1"/>
    </xf>
    <xf numFmtId="0" fontId="8" fillId="0" borderId="13" xfId="12" applyFont="1" applyFill="1" applyBorder="1" applyAlignment="1" applyProtection="1">
      <alignment horizontal="center" wrapText="1"/>
    </xf>
    <xf numFmtId="0" fontId="7" fillId="0" borderId="13" xfId="12" applyFont="1" applyFill="1" applyBorder="1" applyAlignment="1" applyProtection="1">
      <alignment horizontal="center" vertical="top" wrapText="1"/>
    </xf>
    <xf numFmtId="0" fontId="12" fillId="0" borderId="5" xfId="0" applyFont="1" applyFill="1" applyBorder="1" applyAlignment="1" applyProtection="1">
      <alignment vertical="center" wrapText="1"/>
    </xf>
    <xf numFmtId="164" fontId="13" fillId="0" borderId="5" xfId="0" applyNumberFormat="1" applyFont="1" applyFill="1" applyBorder="1" applyAlignment="1" applyProtection="1">
      <alignment horizontal="left" vertical="top" wrapText="1"/>
    </xf>
    <xf numFmtId="0" fontId="13" fillId="0" borderId="5" xfId="0" applyFont="1" applyFill="1" applyBorder="1" applyAlignment="1" applyProtection="1">
      <alignment horizontal="left" vertical="top" wrapText="1"/>
    </xf>
    <xf numFmtId="164" fontId="13" fillId="0" borderId="5" xfId="0" applyNumberFormat="1" applyFont="1" applyFill="1" applyBorder="1" applyAlignment="1" applyProtection="1">
      <alignment horizontal="center" vertical="center" wrapText="1"/>
    </xf>
    <xf numFmtId="4" fontId="13" fillId="0" borderId="5" xfId="0" applyNumberFormat="1" applyFont="1" applyFill="1" applyBorder="1" applyAlignment="1" applyProtection="1">
      <alignment horizontal="center" vertical="center" wrapText="1"/>
    </xf>
    <xf numFmtId="0" fontId="7" fillId="0" borderId="13" xfId="12" applyFont="1" applyFill="1" applyBorder="1" applyAlignment="1" applyProtection="1">
      <alignment horizontal="center" wrapText="1"/>
    </xf>
    <xf numFmtId="0" fontId="17" fillId="0" borderId="5" xfId="0" applyFont="1" applyFill="1" applyBorder="1" applyAlignment="1" applyProtection="1">
      <alignment vertical="center" wrapText="1"/>
    </xf>
    <xf numFmtId="0" fontId="15" fillId="0" borderId="5" xfId="0" applyFont="1" applyFill="1" applyBorder="1" applyAlignment="1" applyProtection="1">
      <alignment vertical="center" wrapText="1"/>
    </xf>
    <xf numFmtId="164" fontId="17" fillId="0" borderId="5" xfId="0" applyNumberFormat="1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3" fontId="8" fillId="0" borderId="5" xfId="12" applyNumberFormat="1" applyFont="1" applyFill="1" applyBorder="1" applyAlignment="1" applyProtection="1">
      <alignment horizontal="center" vertical="center" wrapText="1"/>
    </xf>
    <xf numFmtId="0" fontId="14" fillId="0" borderId="16" xfId="12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/>
    <xf numFmtId="3" fontId="8" fillId="0" borderId="14" xfId="12" applyNumberFormat="1" applyFont="1" applyFill="1" applyBorder="1" applyAlignment="1" applyProtection="1">
      <alignment horizontal="center" vertical="center" wrapText="1"/>
    </xf>
    <xf numFmtId="164" fontId="16" fillId="0" borderId="14" xfId="12" applyNumberFormat="1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left" vertical="center" wrapText="1"/>
    </xf>
    <xf numFmtId="0" fontId="6" fillId="0" borderId="5" xfId="12" applyFont="1" applyFill="1" applyBorder="1" applyAlignment="1" applyProtection="1">
      <alignment vertical="center" wrapText="1"/>
    </xf>
    <xf numFmtId="173" fontId="14" fillId="0" borderId="0" xfId="12" applyNumberFormat="1" applyFont="1" applyAlignment="1" applyProtection="1">
      <alignment vertical="center" wrapText="1"/>
    </xf>
    <xf numFmtId="0" fontId="14" fillId="0" borderId="5" xfId="12" applyFont="1" applyBorder="1" applyAlignment="1" applyProtection="1">
      <alignment horizontal="left" vertical="center" wrapText="1"/>
    </xf>
    <xf numFmtId="166" fontId="14" fillId="0" borderId="5" xfId="11" applyNumberFormat="1" applyFont="1" applyBorder="1" applyAlignment="1" applyProtection="1">
      <alignment horizontal="center" vertical="center" wrapText="1"/>
    </xf>
    <xf numFmtId="165" fontId="13" fillId="0" borderId="5" xfId="0" applyNumberFormat="1" applyFont="1" applyBorder="1" applyAlignment="1" applyProtection="1">
      <alignment horizontal="left" vertical="top" wrapText="1"/>
    </xf>
    <xf numFmtId="0" fontId="14" fillId="0" borderId="15" xfId="12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left" vertical="center" wrapText="1"/>
    </xf>
    <xf numFmtId="0" fontId="7" fillId="0" borderId="4" xfId="12" applyFont="1" applyBorder="1" applyAlignment="1" applyProtection="1">
      <alignment horizontal="center" vertical="center" wrapText="1"/>
    </xf>
    <xf numFmtId="0" fontId="7" fillId="0" borderId="14" xfId="12" applyFont="1" applyBorder="1" applyAlignment="1" applyProtection="1">
      <alignment horizontal="center" vertical="center" wrapText="1"/>
    </xf>
    <xf numFmtId="0" fontId="7" fillId="0" borderId="5" xfId="12" applyFont="1" applyBorder="1" applyAlignment="1" applyProtection="1">
      <alignment horizontal="center" vertical="center" wrapText="1"/>
    </xf>
    <xf numFmtId="0" fontId="7" fillId="0" borderId="6" xfId="12" applyFont="1" applyBorder="1" applyAlignment="1" applyProtection="1">
      <alignment horizontal="center" vertical="center" wrapText="1"/>
    </xf>
    <xf numFmtId="0" fontId="8" fillId="0" borderId="5" xfId="12" applyFont="1" applyFill="1" applyBorder="1" applyAlignment="1" applyProtection="1">
      <alignment horizontal="center" vertical="center" wrapText="1"/>
    </xf>
    <xf numFmtId="164" fontId="8" fillId="0" borderId="5" xfId="12" applyNumberFormat="1" applyFont="1" applyFill="1" applyBorder="1" applyAlignment="1" applyProtection="1">
      <alignment horizontal="center" vertical="center" wrapText="1"/>
    </xf>
    <xf numFmtId="0" fontId="8" fillId="0" borderId="13" xfId="12" applyFont="1" applyFill="1" applyBorder="1" applyAlignment="1" applyProtection="1">
      <alignment horizontal="left" vertical="center" wrapText="1"/>
    </xf>
    <xf numFmtId="0" fontId="13" fillId="0" borderId="14" xfId="0" applyFont="1" applyFill="1" applyBorder="1" applyAlignment="1" applyProtection="1">
      <alignment horizontal="left" vertical="top" wrapText="1"/>
    </xf>
    <xf numFmtId="164" fontId="8" fillId="0" borderId="5" xfId="12" applyNumberFormat="1" applyFont="1" applyFill="1" applyBorder="1" applyAlignment="1" applyProtection="1">
      <alignment horizontal="center" vertical="center" wrapText="1"/>
    </xf>
    <xf numFmtId="0" fontId="7" fillId="0" borderId="6" xfId="12" applyFont="1" applyBorder="1" applyAlignment="1" applyProtection="1">
      <alignment horizontal="center" vertical="center" wrapText="1"/>
    </xf>
    <xf numFmtId="0" fontId="7" fillId="0" borderId="14" xfId="12" applyFont="1" applyBorder="1" applyAlignment="1" applyProtection="1">
      <alignment horizontal="center" vertical="center" wrapText="1"/>
    </xf>
    <xf numFmtId="0" fontId="7" fillId="0" borderId="15" xfId="12" applyFont="1" applyBorder="1" applyAlignment="1" applyProtection="1">
      <alignment horizontal="center" vertical="center" wrapText="1"/>
    </xf>
    <xf numFmtId="0" fontId="7" fillId="0" borderId="7" xfId="12" applyFont="1" applyBorder="1" applyAlignment="1" applyProtection="1">
      <alignment horizontal="center" vertical="center" wrapText="1"/>
    </xf>
    <xf numFmtId="0" fontId="11" fillId="0" borderId="25" xfId="0" applyFont="1" applyBorder="1" applyAlignment="1" applyProtection="1">
      <alignment horizontal="center" vertical="top"/>
    </xf>
    <xf numFmtId="0" fontId="11" fillId="0" borderId="22" xfId="0" applyFont="1" applyBorder="1" applyAlignment="1" applyProtection="1">
      <alignment horizontal="center" vertical="top"/>
    </xf>
    <xf numFmtId="0" fontId="11" fillId="0" borderId="23" xfId="0" applyFont="1" applyBorder="1" applyAlignment="1" applyProtection="1">
      <alignment horizontal="center" vertical="top"/>
    </xf>
    <xf numFmtId="0" fontId="7" fillId="0" borderId="16" xfId="12" applyFont="1" applyBorder="1" applyAlignment="1" applyProtection="1">
      <alignment horizontal="center" vertical="center" wrapText="1"/>
    </xf>
    <xf numFmtId="0" fontId="7" fillId="0" borderId="17" xfId="12" applyFont="1" applyBorder="1" applyAlignment="1" applyProtection="1">
      <alignment horizontal="center" vertical="center" wrapText="1"/>
    </xf>
    <xf numFmtId="0" fontId="7" fillId="0" borderId="0" xfId="12" applyFont="1" applyBorder="1" applyAlignment="1" applyProtection="1">
      <alignment horizontal="center" vertical="center" wrapText="1"/>
    </xf>
    <xf numFmtId="0" fontId="9" fillId="0" borderId="0" xfId="12" applyFont="1" applyBorder="1" applyAlignment="1" applyProtection="1">
      <alignment horizontal="center" vertical="center"/>
    </xf>
    <xf numFmtId="49" fontId="7" fillId="0" borderId="1" xfId="9" applyNumberFormat="1" applyFont="1" applyBorder="1" applyAlignment="1" applyProtection="1">
      <alignment horizontal="center" vertical="center" wrapText="1"/>
    </xf>
    <xf numFmtId="49" fontId="7" fillId="0" borderId="2" xfId="9" applyNumberFormat="1" applyFont="1" applyBorder="1" applyAlignment="1" applyProtection="1">
      <alignment horizontal="center" vertical="center" wrapText="1"/>
    </xf>
    <xf numFmtId="0" fontId="7" fillId="0" borderId="3" xfId="12" applyFont="1" applyBorder="1" applyAlignment="1" applyProtection="1">
      <alignment horizontal="center" vertical="center"/>
    </xf>
    <xf numFmtId="0" fontId="7" fillId="0" borderId="21" xfId="12" applyFont="1" applyBorder="1" applyAlignment="1" applyProtection="1">
      <alignment horizontal="center" vertical="center"/>
    </xf>
    <xf numFmtId="0" fontId="7" fillId="0" borderId="22" xfId="12" applyFont="1" applyBorder="1" applyAlignment="1" applyProtection="1">
      <alignment horizontal="center" vertical="center"/>
    </xf>
    <xf numFmtId="0" fontId="7" fillId="0" borderId="23" xfId="12" applyFont="1" applyBorder="1" applyAlignment="1" applyProtection="1">
      <alignment horizontal="center" vertical="center"/>
    </xf>
    <xf numFmtId="0" fontId="7" fillId="0" borderId="5" xfId="12" applyFont="1" applyBorder="1" applyAlignment="1" applyProtection="1">
      <alignment horizontal="center" vertical="center"/>
    </xf>
    <xf numFmtId="0" fontId="7" fillId="0" borderId="6" xfId="12" applyFont="1" applyBorder="1" applyAlignment="1" applyProtection="1">
      <alignment horizontal="center" vertical="center"/>
    </xf>
    <xf numFmtId="0" fontId="7" fillId="0" borderId="14" xfId="12" applyFont="1" applyBorder="1" applyAlignment="1" applyProtection="1">
      <alignment horizontal="center" vertical="center"/>
    </xf>
    <xf numFmtId="0" fontId="7" fillId="0" borderId="16" xfId="12" applyFont="1" applyFill="1" applyBorder="1" applyAlignment="1" applyProtection="1">
      <alignment horizontal="center" vertical="center" wrapText="1"/>
    </xf>
    <xf numFmtId="0" fontId="7" fillId="0" borderId="17" xfId="12" applyFont="1" applyFill="1" applyBorder="1" applyAlignment="1" applyProtection="1">
      <alignment horizontal="center" vertical="center" wrapText="1"/>
    </xf>
    <xf numFmtId="0" fontId="7" fillId="0" borderId="15" xfId="12" applyFont="1" applyFill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top" wrapText="1"/>
    </xf>
    <xf numFmtId="0" fontId="12" fillId="0" borderId="15" xfId="0" applyFont="1" applyBorder="1" applyAlignment="1" applyProtection="1">
      <alignment horizontal="left" vertical="top" wrapText="1"/>
    </xf>
    <xf numFmtId="0" fontId="7" fillId="0" borderId="13" xfId="12" applyFont="1" applyBorder="1" applyAlignment="1" applyProtection="1">
      <alignment horizontal="center" vertical="center" wrapText="1"/>
    </xf>
    <xf numFmtId="0" fontId="7" fillId="0" borderId="5" xfId="12" applyFont="1" applyBorder="1" applyAlignment="1" applyProtection="1">
      <alignment horizontal="center" vertical="center" wrapText="1"/>
    </xf>
    <xf numFmtId="0" fontId="7" fillId="0" borderId="4" xfId="12" applyFont="1" applyBorder="1" applyAlignment="1" applyProtection="1">
      <alignment horizontal="center" vertical="center" wrapText="1"/>
    </xf>
    <xf numFmtId="0" fontId="7" fillId="0" borderId="13" xfId="12" applyFont="1" applyFill="1" applyBorder="1" applyAlignment="1" applyProtection="1">
      <alignment horizontal="left" vertical="center" wrapText="1"/>
    </xf>
    <xf numFmtId="0" fontId="7" fillId="0" borderId="16" xfId="12" applyFont="1" applyFill="1" applyBorder="1" applyAlignment="1" applyProtection="1">
      <alignment horizontal="left" vertical="center" wrapText="1"/>
    </xf>
    <xf numFmtId="0" fontId="7" fillId="0" borderId="17" xfId="12" applyFont="1" applyFill="1" applyBorder="1" applyAlignment="1" applyProtection="1">
      <alignment horizontal="left" vertical="center" wrapText="1"/>
    </xf>
    <xf numFmtId="0" fontId="7" fillId="0" borderId="15" xfId="12" applyFont="1" applyFill="1" applyBorder="1" applyAlignment="1" applyProtection="1">
      <alignment horizontal="left" vertical="center" wrapText="1"/>
    </xf>
    <xf numFmtId="0" fontId="8" fillId="0" borderId="13" xfId="12" applyFont="1" applyFill="1" applyBorder="1" applyAlignment="1" applyProtection="1">
      <alignment horizontal="center" vertical="center" wrapText="1"/>
    </xf>
    <xf numFmtId="0" fontId="8" fillId="0" borderId="5" xfId="12" applyFont="1" applyFill="1" applyBorder="1" applyAlignment="1" applyProtection="1">
      <alignment horizontal="center" vertical="center" wrapText="1"/>
    </xf>
    <xf numFmtId="0" fontId="8" fillId="0" borderId="13" xfId="12" applyFont="1" applyFill="1" applyBorder="1" applyAlignment="1" applyProtection="1">
      <alignment horizontal="left" vertical="center" wrapText="1"/>
    </xf>
    <xf numFmtId="0" fontId="7" fillId="0" borderId="16" xfId="12" applyFont="1" applyFill="1" applyBorder="1" applyAlignment="1" applyProtection="1">
      <alignment vertical="center" wrapText="1"/>
    </xf>
    <xf numFmtId="0" fontId="7" fillId="0" borderId="17" xfId="12" applyFont="1" applyFill="1" applyBorder="1" applyAlignment="1" applyProtection="1">
      <alignment vertical="center" wrapText="1"/>
    </xf>
    <xf numFmtId="0" fontId="7" fillId="0" borderId="15" xfId="12" applyFont="1" applyFill="1" applyBorder="1" applyAlignment="1" applyProtection="1">
      <alignment vertical="center" wrapText="1"/>
    </xf>
    <xf numFmtId="0" fontId="7" fillId="0" borderId="13" xfId="1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top" wrapText="1"/>
    </xf>
    <xf numFmtId="0" fontId="7" fillId="0" borderId="13" xfId="12" applyFont="1" applyFill="1" applyBorder="1" applyAlignment="1" applyProtection="1">
      <alignment horizontal="center" vertical="center" wrapText="1"/>
    </xf>
    <xf numFmtId="0" fontId="8" fillId="0" borderId="18" xfId="12" applyFont="1" applyBorder="1" applyAlignment="1" applyProtection="1">
      <alignment horizontal="left" vertical="center" wrapText="1"/>
    </xf>
  </cellXfs>
  <cellStyles count="15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2" xfId="13"/>
    <cellStyle name="Обычный 21_СВОД по районам" xfId="5"/>
    <cellStyle name="Обычный 3" xfId="6"/>
    <cellStyle name="Обычный 4" xfId="7"/>
    <cellStyle name="Обычный 5" xfId="8"/>
    <cellStyle name="Обычный_3-РЕМОНТ_МОСТОВ на 2011год" xfId="9"/>
    <cellStyle name="Обычный_ВЫПОЛНЕНИЕ программы ИЖС-2010 год" xfId="10"/>
    <cellStyle name="Обычный_мероприятия (приложение 2 к 139-пп)" xfId="11"/>
    <cellStyle name="Стиль 1" xfId="12"/>
    <cellStyle name="Стиль 1 2" xfId="1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.12.204%20&#1073;&#1102;&#1076;&#1078;%2025-27%202&#1095;&#1090;%20&#1091;&#1090;&#1086;&#1095;&#1095;&#109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4.1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N425"/>
  <sheetViews>
    <sheetView tabSelected="1" view="pageBreakPreview" zoomScale="60" zoomScaleNormal="75" zoomScalePageLayoutView="72" workbookViewId="0">
      <pane xSplit="3" ySplit="9" topLeftCell="D176" activePane="bottomRight" state="frozen"/>
      <selection pane="topRight" activeCell="D1" sqref="D1"/>
      <selection pane="bottomLeft" activeCell="A164" sqref="A164"/>
      <selection pane="bottomRight" activeCell="E174" sqref="E174"/>
    </sheetView>
  </sheetViews>
  <sheetFormatPr defaultColWidth="9.140625" defaultRowHeight="16.5"/>
  <cols>
    <col min="1" max="1" width="7.140625" style="1" customWidth="1"/>
    <col min="2" max="2" width="58.85546875" style="2" customWidth="1"/>
    <col min="3" max="3" width="13.7109375" style="2" customWidth="1"/>
    <col min="4" max="4" width="13.42578125" style="2" customWidth="1"/>
    <col min="5" max="5" width="14.7109375" style="2" customWidth="1"/>
    <col min="6" max="6" width="22" style="2" customWidth="1"/>
    <col min="7" max="7" width="11.28515625" style="2" hidden="1" customWidth="1"/>
    <col min="8" max="8" width="11.85546875" style="2" hidden="1" customWidth="1"/>
    <col min="9" max="9" width="19" style="2" hidden="1" customWidth="1"/>
    <col min="10" max="10" width="21" style="2" hidden="1" customWidth="1"/>
    <col min="11" max="11" width="18.140625" style="2" hidden="1" customWidth="1"/>
    <col min="12" max="12" width="18.5703125" style="2" hidden="1" customWidth="1"/>
    <col min="13" max="13" width="12.28515625" style="2" customWidth="1"/>
    <col min="14" max="14" width="12" style="2" customWidth="1"/>
    <col min="15" max="15" width="19.28515625" style="2" customWidth="1"/>
    <col min="16" max="16" width="18.28515625" style="2" customWidth="1"/>
    <col min="17" max="17" width="18.42578125" style="2" customWidth="1"/>
    <col min="18" max="18" width="17.140625" style="2" customWidth="1"/>
    <col min="19" max="19" width="11.5703125" style="2" customWidth="1"/>
    <col min="20" max="20" width="10" style="2" customWidth="1"/>
    <col min="21" max="21" width="19.85546875" style="2" customWidth="1"/>
    <col min="22" max="22" width="17.28515625" style="2" customWidth="1"/>
    <col min="23" max="23" width="15.5703125" style="2" customWidth="1"/>
    <col min="24" max="24" width="9.7109375" style="2" customWidth="1"/>
    <col min="25" max="25" width="10.28515625" style="2" customWidth="1"/>
    <col min="26" max="26" width="18.7109375" style="2" customWidth="1"/>
    <col min="27" max="27" width="17.7109375" style="2" customWidth="1"/>
    <col min="28" max="28" width="15.5703125" style="2" customWidth="1"/>
    <col min="29" max="29" width="21.28515625" style="2" customWidth="1"/>
    <col min="30" max="30" width="21.7109375" style="2" customWidth="1"/>
    <col min="31" max="31" width="19" style="2" customWidth="1"/>
    <col min="32" max="38" width="9.140625" style="2"/>
    <col min="39" max="39" width="10.28515625" style="2" customWidth="1"/>
    <col min="40" max="40" width="19.5703125" style="2" customWidth="1"/>
    <col min="41" max="16384" width="9.140625" style="2"/>
  </cols>
  <sheetData>
    <row r="1" spans="1:34" s="4" customFormat="1" ht="102.75" customHeight="1">
      <c r="A1" s="3"/>
      <c r="F1" s="5"/>
      <c r="G1" s="6"/>
      <c r="H1" s="7"/>
      <c r="I1" s="7"/>
      <c r="J1" s="7"/>
      <c r="K1" s="7"/>
      <c r="L1" s="7"/>
      <c r="R1" s="10"/>
      <c r="T1" s="74"/>
      <c r="U1" s="74"/>
      <c r="V1" s="161" t="s">
        <v>145</v>
      </c>
      <c r="W1" s="161"/>
      <c r="X1" s="161"/>
      <c r="Y1" s="161"/>
      <c r="Z1" s="161"/>
      <c r="AA1" s="161"/>
      <c r="AB1" s="161"/>
    </row>
    <row r="2" spans="1:34" s="4" customFormat="1" ht="19.5" customHeight="1">
      <c r="A2" s="3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4"/>
      <c r="S2" s="74"/>
      <c r="T2" s="74"/>
      <c r="U2" s="74"/>
      <c r="W2" s="74"/>
      <c r="X2" s="9"/>
      <c r="Y2" s="9"/>
      <c r="Z2" s="10"/>
      <c r="AA2" s="10"/>
      <c r="AB2" s="10"/>
    </row>
    <row r="3" spans="1:34" s="4" customFormat="1" ht="36.75" customHeight="1">
      <c r="A3" s="162" t="s">
        <v>146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</row>
    <row r="4" spans="1:34" s="4" customFormat="1" ht="28.5" customHeight="1" thickBot="1">
      <c r="A4" s="3"/>
      <c r="S4" s="32"/>
      <c r="T4" s="32"/>
      <c r="U4" s="32"/>
      <c r="V4" s="32"/>
      <c r="W4" s="32"/>
      <c r="X4" s="8"/>
      <c r="Y4" s="8"/>
    </row>
    <row r="5" spans="1:34" s="4" customFormat="1" ht="34.5" customHeight="1" thickBot="1">
      <c r="A5" s="163" t="s">
        <v>0</v>
      </c>
      <c r="B5" s="164" t="s">
        <v>1</v>
      </c>
      <c r="C5" s="164" t="s">
        <v>2</v>
      </c>
      <c r="D5" s="165" t="s">
        <v>3</v>
      </c>
      <c r="E5" s="165"/>
      <c r="F5" s="165"/>
      <c r="G5" s="165"/>
      <c r="H5" s="165"/>
      <c r="I5" s="165"/>
      <c r="J5" s="165"/>
      <c r="K5" s="165"/>
      <c r="L5" s="165"/>
      <c r="M5" s="166" t="s">
        <v>4</v>
      </c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8"/>
      <c r="AC5" s="10"/>
      <c r="AD5" s="10"/>
      <c r="AE5" s="10"/>
      <c r="AF5" s="10"/>
      <c r="AG5" s="10"/>
      <c r="AH5" s="10"/>
    </row>
    <row r="6" spans="1:34" s="4" customFormat="1" ht="29.25" customHeight="1" thickBot="1">
      <c r="A6" s="163"/>
      <c r="B6" s="164"/>
      <c r="C6" s="164"/>
      <c r="D6" s="165"/>
      <c r="E6" s="165"/>
      <c r="F6" s="165"/>
      <c r="G6" s="169" t="s">
        <v>7</v>
      </c>
      <c r="H6" s="169"/>
      <c r="I6" s="169"/>
      <c r="J6" s="169"/>
      <c r="K6" s="169"/>
      <c r="L6" s="169"/>
      <c r="M6" s="169" t="s">
        <v>8</v>
      </c>
      <c r="N6" s="169"/>
      <c r="O6" s="169"/>
      <c r="P6" s="169"/>
      <c r="Q6" s="169"/>
      <c r="R6" s="169"/>
      <c r="S6" s="170" t="s">
        <v>9</v>
      </c>
      <c r="T6" s="170"/>
      <c r="U6" s="170"/>
      <c r="V6" s="170"/>
      <c r="W6" s="171"/>
      <c r="X6" s="170">
        <v>2027</v>
      </c>
      <c r="Y6" s="170"/>
      <c r="Z6" s="170"/>
      <c r="AA6" s="170"/>
      <c r="AB6" s="170"/>
      <c r="AC6" s="10"/>
      <c r="AD6" s="10"/>
      <c r="AE6" s="10"/>
      <c r="AF6" s="10"/>
      <c r="AG6" s="10"/>
      <c r="AH6" s="10"/>
    </row>
    <row r="7" spans="1:34" s="4" customFormat="1" ht="45.75" customHeight="1" thickBot="1">
      <c r="A7" s="163"/>
      <c r="B7" s="164"/>
      <c r="C7" s="164"/>
      <c r="D7" s="169" t="s">
        <v>10</v>
      </c>
      <c r="E7" s="169"/>
      <c r="F7" s="179" t="s">
        <v>11</v>
      </c>
      <c r="G7" s="153" t="s">
        <v>134</v>
      </c>
      <c r="H7" s="154"/>
      <c r="I7" s="179" t="s">
        <v>6</v>
      </c>
      <c r="J7" s="178" t="s">
        <v>12</v>
      </c>
      <c r="K7" s="178"/>
      <c r="L7" s="178"/>
      <c r="M7" s="153" t="s">
        <v>134</v>
      </c>
      <c r="N7" s="154"/>
      <c r="O7" s="179" t="s">
        <v>6</v>
      </c>
      <c r="P7" s="178" t="s">
        <v>12</v>
      </c>
      <c r="Q7" s="178"/>
      <c r="R7" s="178"/>
      <c r="S7" s="153" t="s">
        <v>134</v>
      </c>
      <c r="T7" s="154"/>
      <c r="U7" s="155" t="s">
        <v>6</v>
      </c>
      <c r="V7" s="152" t="s">
        <v>12</v>
      </c>
      <c r="W7" s="153"/>
      <c r="X7" s="153" t="s">
        <v>134</v>
      </c>
      <c r="Y7" s="154"/>
      <c r="Z7" s="155" t="s">
        <v>6</v>
      </c>
      <c r="AA7" s="152" t="s">
        <v>12</v>
      </c>
      <c r="AB7" s="152"/>
      <c r="AC7" s="10"/>
      <c r="AD7" s="10"/>
      <c r="AE7" s="10"/>
      <c r="AF7" s="10"/>
      <c r="AG7" s="10"/>
      <c r="AH7" s="10"/>
    </row>
    <row r="8" spans="1:34" s="4" customFormat="1" ht="77.25" customHeight="1">
      <c r="A8" s="163"/>
      <c r="B8" s="164"/>
      <c r="C8" s="164"/>
      <c r="D8" s="11" t="s">
        <v>5</v>
      </c>
      <c r="E8" s="11" t="s">
        <v>13</v>
      </c>
      <c r="F8" s="179"/>
      <c r="G8" s="11" t="s">
        <v>5</v>
      </c>
      <c r="H8" s="11" t="s">
        <v>13</v>
      </c>
      <c r="I8" s="179"/>
      <c r="J8" s="145" t="s">
        <v>15</v>
      </c>
      <c r="K8" s="145" t="s">
        <v>14</v>
      </c>
      <c r="L8" s="143" t="s">
        <v>136</v>
      </c>
      <c r="M8" s="11" t="s">
        <v>5</v>
      </c>
      <c r="N8" s="11" t="s">
        <v>13</v>
      </c>
      <c r="O8" s="179"/>
      <c r="P8" s="145" t="s">
        <v>15</v>
      </c>
      <c r="Q8" s="145" t="s">
        <v>14</v>
      </c>
      <c r="R8" s="143" t="s">
        <v>136</v>
      </c>
      <c r="S8" s="11" t="s">
        <v>5</v>
      </c>
      <c r="T8" s="11" t="s">
        <v>13</v>
      </c>
      <c r="U8" s="155"/>
      <c r="V8" s="145" t="s">
        <v>15</v>
      </c>
      <c r="W8" s="144" t="s">
        <v>135</v>
      </c>
      <c r="X8" s="11" t="s">
        <v>5</v>
      </c>
      <c r="Y8" s="11" t="s">
        <v>13</v>
      </c>
      <c r="Z8" s="155"/>
      <c r="AA8" s="145" t="s">
        <v>15</v>
      </c>
      <c r="AB8" s="146" t="s">
        <v>135</v>
      </c>
      <c r="AC8" s="10"/>
      <c r="AD8" s="10"/>
      <c r="AE8" s="10"/>
      <c r="AF8" s="10"/>
      <c r="AG8" s="10"/>
      <c r="AH8" s="10"/>
    </row>
    <row r="9" spans="1:34" s="4" customFormat="1" ht="23.25" customHeight="1" thickBot="1">
      <c r="A9" s="58">
        <v>1</v>
      </c>
      <c r="B9" s="59">
        <v>2</v>
      </c>
      <c r="C9" s="59">
        <v>3</v>
      </c>
      <c r="D9" s="59">
        <v>4</v>
      </c>
      <c r="E9" s="59">
        <v>5</v>
      </c>
      <c r="F9" s="59">
        <v>6</v>
      </c>
      <c r="G9" s="59">
        <v>7</v>
      </c>
      <c r="H9" s="59">
        <v>8</v>
      </c>
      <c r="I9" s="59">
        <v>9</v>
      </c>
      <c r="J9" s="59">
        <v>10</v>
      </c>
      <c r="K9" s="59">
        <v>11</v>
      </c>
      <c r="L9" s="59">
        <v>12</v>
      </c>
      <c r="M9" s="59">
        <v>7</v>
      </c>
      <c r="N9" s="59">
        <v>8</v>
      </c>
      <c r="O9" s="59">
        <v>9</v>
      </c>
      <c r="P9" s="59">
        <v>10</v>
      </c>
      <c r="Q9" s="59">
        <v>11</v>
      </c>
      <c r="R9" s="59">
        <v>12</v>
      </c>
      <c r="S9" s="59">
        <v>13</v>
      </c>
      <c r="T9" s="59">
        <v>14</v>
      </c>
      <c r="U9" s="60">
        <v>15</v>
      </c>
      <c r="V9" s="59">
        <v>16</v>
      </c>
      <c r="W9" s="60">
        <v>17</v>
      </c>
      <c r="X9" s="59">
        <v>18</v>
      </c>
      <c r="Y9" s="59">
        <v>19</v>
      </c>
      <c r="Z9" s="60">
        <v>20</v>
      </c>
      <c r="AA9" s="59">
        <v>21</v>
      </c>
      <c r="AB9" s="61">
        <v>22</v>
      </c>
      <c r="AC9" s="10"/>
      <c r="AD9" s="10"/>
      <c r="AE9" s="10"/>
      <c r="AF9" s="10"/>
      <c r="AG9" s="10"/>
      <c r="AH9" s="10"/>
    </row>
    <row r="10" spans="1:34" s="4" customFormat="1" ht="33" customHeight="1">
      <c r="A10" s="156" t="s">
        <v>16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8"/>
      <c r="AC10" s="10"/>
      <c r="AD10" s="10"/>
      <c r="AE10" s="10"/>
      <c r="AF10" s="10"/>
      <c r="AG10" s="10"/>
      <c r="AH10" s="10"/>
    </row>
    <row r="11" spans="1:34" s="4" customFormat="1" ht="33" customHeight="1">
      <c r="A11" s="12" t="s">
        <v>17</v>
      </c>
      <c r="B11" s="175" t="s">
        <v>18</v>
      </c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3"/>
      <c r="W11" s="63"/>
      <c r="X11" s="21"/>
      <c r="Y11" s="67"/>
      <c r="Z11" s="68"/>
      <c r="AA11" s="68"/>
      <c r="AB11" s="75"/>
      <c r="AC11" s="10"/>
      <c r="AD11" s="10"/>
      <c r="AE11" s="10"/>
      <c r="AF11" s="10"/>
      <c r="AG11" s="10"/>
      <c r="AH11" s="10"/>
    </row>
    <row r="12" spans="1:34" s="4" customFormat="1" ht="31.5" customHeight="1">
      <c r="A12" s="12">
        <v>1</v>
      </c>
      <c r="B12" s="175" t="s">
        <v>19</v>
      </c>
      <c r="C12" s="176"/>
      <c r="D12" s="64">
        <f>D16</f>
        <v>2.8</v>
      </c>
      <c r="E12" s="64"/>
      <c r="F12" s="64">
        <f>F16</f>
        <v>196807.1</v>
      </c>
      <c r="G12" s="64">
        <f>G14</f>
        <v>2.5</v>
      </c>
      <c r="H12" s="64"/>
      <c r="I12" s="64">
        <f>I14</f>
        <v>174477.09239999999</v>
      </c>
      <c r="J12" s="13"/>
      <c r="K12" s="64">
        <f>K14</f>
        <v>174477.09239999999</v>
      </c>
      <c r="L12" s="13"/>
      <c r="M12" s="64">
        <f>M16</f>
        <v>2.8</v>
      </c>
      <c r="N12" s="64"/>
      <c r="O12" s="64">
        <f>O16</f>
        <v>196807.1</v>
      </c>
      <c r="P12" s="13"/>
      <c r="Q12" s="64">
        <f>Q16</f>
        <v>196807.1</v>
      </c>
      <c r="R12" s="13"/>
      <c r="S12" s="64"/>
      <c r="T12" s="64"/>
      <c r="U12" s="64"/>
      <c r="V12" s="64"/>
      <c r="W12" s="30"/>
      <c r="X12" s="21"/>
      <c r="Y12" s="67"/>
      <c r="Z12" s="68"/>
      <c r="AA12" s="68"/>
      <c r="AB12" s="75"/>
      <c r="AC12" s="10"/>
      <c r="AD12" s="10"/>
      <c r="AE12" s="10"/>
      <c r="AF12" s="10"/>
      <c r="AG12" s="10"/>
      <c r="AH12" s="10"/>
    </row>
    <row r="13" spans="1:34" s="4" customFormat="1" ht="26.25" hidden="1" customHeight="1">
      <c r="A13" s="177" t="s">
        <v>20</v>
      </c>
      <c r="B13" s="17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63"/>
      <c r="V13" s="13"/>
      <c r="W13" s="63"/>
      <c r="X13" s="21"/>
      <c r="Y13" s="67"/>
      <c r="Z13" s="68"/>
      <c r="AA13" s="68"/>
      <c r="AB13" s="75"/>
      <c r="AC13" s="10"/>
      <c r="AD13" s="10"/>
      <c r="AE13" s="10"/>
      <c r="AF13" s="10"/>
      <c r="AG13" s="10"/>
      <c r="AH13" s="10"/>
    </row>
    <row r="14" spans="1:34" s="4" customFormat="1" ht="30.75" hidden="1" customHeight="1">
      <c r="A14" s="15">
        <v>1</v>
      </c>
      <c r="B14" s="16" t="s">
        <v>21</v>
      </c>
      <c r="C14" s="16" t="s">
        <v>22</v>
      </c>
      <c r="D14" s="17">
        <v>2.5</v>
      </c>
      <c r="E14" s="17"/>
      <c r="F14" s="18">
        <v>174477.09239999999</v>
      </c>
      <c r="G14" s="17">
        <f>D14</f>
        <v>2.5</v>
      </c>
      <c r="H14" s="17"/>
      <c r="I14" s="18">
        <f>F14</f>
        <v>174477.09239999999</v>
      </c>
      <c r="J14" s="13"/>
      <c r="K14" s="18">
        <f>I14</f>
        <v>174477.09239999999</v>
      </c>
      <c r="L14" s="13"/>
      <c r="M14" s="13"/>
      <c r="N14" s="13"/>
      <c r="O14" s="13"/>
      <c r="P14" s="13"/>
      <c r="Q14" s="13"/>
      <c r="R14" s="13"/>
      <c r="S14" s="13"/>
      <c r="T14" s="13"/>
      <c r="U14" s="63"/>
      <c r="V14" s="13"/>
      <c r="W14" s="63"/>
      <c r="X14" s="21"/>
      <c r="Y14" s="67"/>
      <c r="Z14" s="68"/>
      <c r="AA14" s="68"/>
      <c r="AB14" s="75"/>
      <c r="AC14" s="10"/>
      <c r="AD14" s="10"/>
      <c r="AE14" s="10"/>
      <c r="AF14" s="10"/>
      <c r="AG14" s="10"/>
      <c r="AH14" s="10"/>
    </row>
    <row r="15" spans="1:34" s="4" customFormat="1" ht="33" customHeight="1">
      <c r="A15" s="159" t="s">
        <v>160</v>
      </c>
      <c r="B15" s="160"/>
      <c r="C15" s="154"/>
      <c r="D15" s="64"/>
      <c r="E15" s="64"/>
      <c r="F15" s="64"/>
      <c r="G15" s="64"/>
      <c r="H15" s="64"/>
      <c r="I15" s="64"/>
      <c r="J15" s="13"/>
      <c r="K15" s="64"/>
      <c r="L15" s="13"/>
      <c r="M15" s="13"/>
      <c r="N15" s="13"/>
      <c r="O15" s="13"/>
      <c r="P15" s="13"/>
      <c r="Q15" s="13"/>
      <c r="R15" s="13"/>
      <c r="S15" s="13"/>
      <c r="T15" s="13"/>
      <c r="U15" s="63"/>
      <c r="V15" s="13"/>
      <c r="W15" s="63"/>
      <c r="X15" s="21"/>
      <c r="Y15" s="67"/>
      <c r="Z15" s="68"/>
      <c r="AA15" s="68"/>
      <c r="AB15" s="75"/>
      <c r="AC15" s="10"/>
      <c r="AD15" s="10"/>
      <c r="AE15" s="10"/>
      <c r="AF15" s="10"/>
      <c r="AG15" s="10"/>
      <c r="AH15" s="10"/>
    </row>
    <row r="16" spans="1:34" s="4" customFormat="1" ht="45" customHeight="1">
      <c r="A16" s="15">
        <v>1</v>
      </c>
      <c r="B16" s="20" t="s">
        <v>23</v>
      </c>
      <c r="C16" s="16" t="s">
        <v>24</v>
      </c>
      <c r="D16" s="22">
        <v>2.8</v>
      </c>
      <c r="E16" s="64"/>
      <c r="F16" s="18">
        <v>196807.1</v>
      </c>
      <c r="G16" s="64"/>
      <c r="H16" s="64"/>
      <c r="I16" s="64"/>
      <c r="J16" s="13"/>
      <c r="K16" s="64"/>
      <c r="L16" s="13"/>
      <c r="M16" s="22">
        <f>D16</f>
        <v>2.8</v>
      </c>
      <c r="N16" s="64"/>
      <c r="O16" s="18">
        <f>F16</f>
        <v>196807.1</v>
      </c>
      <c r="P16" s="13"/>
      <c r="Q16" s="18">
        <f>O16</f>
        <v>196807.1</v>
      </c>
      <c r="R16" s="13"/>
      <c r="S16" s="13"/>
      <c r="T16" s="13"/>
      <c r="U16" s="63"/>
      <c r="V16" s="13"/>
      <c r="W16" s="63"/>
      <c r="X16" s="64"/>
      <c r="Y16" s="69"/>
      <c r="Z16" s="68"/>
      <c r="AA16" s="68"/>
      <c r="AB16" s="75"/>
      <c r="AC16" s="10"/>
      <c r="AD16" s="10"/>
      <c r="AE16" s="10"/>
      <c r="AF16" s="10"/>
      <c r="AG16" s="10"/>
      <c r="AH16" s="10"/>
    </row>
    <row r="17" spans="1:40" s="4" customFormat="1" ht="27" hidden="1" customHeight="1">
      <c r="A17" s="177" t="s">
        <v>25</v>
      </c>
      <c r="B17" s="177"/>
      <c r="C17" s="19"/>
      <c r="D17" s="64"/>
      <c r="E17" s="64"/>
      <c r="F17" s="64"/>
      <c r="G17" s="64"/>
      <c r="H17" s="64"/>
      <c r="I17" s="64"/>
      <c r="J17" s="13"/>
      <c r="K17" s="64"/>
      <c r="L17" s="13"/>
      <c r="M17" s="64"/>
      <c r="N17" s="64"/>
      <c r="O17" s="64"/>
      <c r="P17" s="13"/>
      <c r="Q17" s="64"/>
      <c r="R17" s="13"/>
      <c r="S17" s="13"/>
      <c r="T17" s="13"/>
      <c r="U17" s="63"/>
      <c r="V17" s="13"/>
      <c r="W17" s="63"/>
      <c r="X17" s="64"/>
      <c r="Y17" s="67"/>
      <c r="Z17" s="68"/>
      <c r="AA17" s="68"/>
      <c r="AB17" s="75"/>
      <c r="AC17" s="10"/>
      <c r="AD17" s="10"/>
      <c r="AE17" s="10"/>
      <c r="AF17" s="10"/>
      <c r="AG17" s="10"/>
      <c r="AH17" s="10"/>
    </row>
    <row r="18" spans="1:40" s="4" customFormat="1" ht="50.25" hidden="1" customHeight="1">
      <c r="A18" s="15">
        <v>3</v>
      </c>
      <c r="B18" s="20" t="s">
        <v>26</v>
      </c>
      <c r="C18" s="16"/>
      <c r="D18" s="17"/>
      <c r="E18" s="64"/>
      <c r="F18" s="18"/>
      <c r="G18" s="64"/>
      <c r="H18" s="64"/>
      <c r="I18" s="56"/>
      <c r="J18" s="13"/>
      <c r="K18" s="64"/>
      <c r="L18" s="13" t="s">
        <v>36</v>
      </c>
      <c r="M18" s="64"/>
      <c r="N18" s="64"/>
      <c r="O18" s="64"/>
      <c r="P18" s="13"/>
      <c r="Q18" s="64"/>
      <c r="R18" s="13"/>
      <c r="S18" s="22"/>
      <c r="T18" s="64"/>
      <c r="U18" s="18"/>
      <c r="V18" s="13"/>
      <c r="W18" s="36"/>
      <c r="X18" s="64"/>
      <c r="Y18" s="67"/>
      <c r="Z18" s="68"/>
      <c r="AA18" s="68"/>
      <c r="AB18" s="75"/>
      <c r="AC18" s="10"/>
      <c r="AD18" s="10"/>
      <c r="AE18" s="10"/>
      <c r="AF18" s="10"/>
      <c r="AG18" s="10"/>
      <c r="AH18" s="10"/>
    </row>
    <row r="19" spans="1:40" s="4" customFormat="1" ht="30" customHeight="1">
      <c r="A19" s="12">
        <v>2</v>
      </c>
      <c r="B19" s="175" t="s">
        <v>27</v>
      </c>
      <c r="C19" s="176"/>
      <c r="D19" s="23"/>
      <c r="E19" s="13"/>
      <c r="F19" s="23"/>
      <c r="G19" s="13"/>
      <c r="H19" s="13"/>
      <c r="I19" s="13"/>
      <c r="J19" s="13"/>
      <c r="K19" s="13"/>
      <c r="L19" s="13"/>
      <c r="M19" s="140"/>
      <c r="N19" s="13"/>
      <c r="O19" s="23"/>
      <c r="P19" s="23"/>
      <c r="Q19" s="23"/>
      <c r="R19" s="13"/>
      <c r="S19" s="13"/>
      <c r="T19" s="13"/>
      <c r="U19" s="63"/>
      <c r="V19" s="13"/>
      <c r="W19" s="63"/>
      <c r="X19" s="64"/>
      <c r="Y19" s="67"/>
      <c r="Z19" s="68"/>
      <c r="AA19" s="68"/>
      <c r="AB19" s="75"/>
      <c r="AC19" s="10"/>
      <c r="AD19" s="10"/>
      <c r="AE19" s="10"/>
      <c r="AF19" s="10"/>
      <c r="AG19" s="10"/>
      <c r="AH19" s="10"/>
    </row>
    <row r="20" spans="1:40" s="27" customFormat="1" ht="29.1" customHeight="1">
      <c r="A20" s="24"/>
      <c r="B20" s="25" t="s">
        <v>187</v>
      </c>
      <c r="C20" s="26"/>
      <c r="D20" s="64">
        <f>D22+D23</f>
        <v>424.39300000000009</v>
      </c>
      <c r="E20" s="18"/>
      <c r="F20" s="64">
        <f>F22+F23</f>
        <v>14727126.76918</v>
      </c>
      <c r="G20" s="64">
        <f>G42+G52+G60+G64+G74+G78+G83+G88+G96+G102+G107+G117+G122+G128+G137+G142+G147+G153+G156</f>
        <v>110.98110000000001</v>
      </c>
      <c r="H20" s="64"/>
      <c r="I20" s="64">
        <f>I42+I52+I60+I64+I74+I78+I83+I88+I96+I102+I107+I113+I122+I137+I147+I153+I156+I157</f>
        <v>2694770.9122200003</v>
      </c>
      <c r="J20" s="64">
        <f>J42+J52+J60+J64+J74+J78+J83+J88+J96+J102+J107+J113+J122+J137+J147+J153+J156+J157</f>
        <v>3.1999999999534339</v>
      </c>
      <c r="K20" s="64">
        <f>K42+K52+K60+K64+K74+K78+K83+K88+K96+K102+K107+K113+K122+K137+K147+K153+K156+K157</f>
        <v>2694767.7122200001</v>
      </c>
      <c r="L20" s="64"/>
      <c r="M20" s="64">
        <f>M28+M42+M52+M60+M64+M74+M83+M88+M96+M102+M107+M113+M117+M122+M128+M137+M142+M147+M153</f>
        <v>181.58599999999998</v>
      </c>
      <c r="N20" s="64"/>
      <c r="O20" s="64">
        <f>O28+O42+O52+O60+O64+O74+O83+O88+O96+O102+O107+O113+O117+O122+O128+O137+O142+O147+O153+0.1</f>
        <v>4974968.7036099993</v>
      </c>
      <c r="P20" s="64">
        <f t="shared" ref="P20" si="0">P28+P42+P52+P60+P64+P74+P83+P88+P96+P102+P107+P113+P117+P122+P128+P137+P142+P147+P153</f>
        <v>3858805.6000016099</v>
      </c>
      <c r="Q20" s="64">
        <f>Q28+Q42+Q52+Q60+Q64+Q74+Q83+Q88+Q96+Q102+Q107+Q113+Q117+Q122+Q128+Q137+Q142+Q147+Q153+0.1</f>
        <v>1116163.1036083905</v>
      </c>
      <c r="R20" s="64"/>
      <c r="S20" s="64">
        <f>S28+S42+S52+S60+S64+S74+S83+S88+S96+S102+S107+S113+S117+S122+S128+S137+S142+S147+S153+S157</f>
        <v>105.90700000000001</v>
      </c>
      <c r="T20" s="64"/>
      <c r="U20" s="64">
        <f>U28+U42+U52+U60+U64+U74+U83+U88+U96+U102+U107+U113+U117+U122+U128+U137+U142+U147+U153+U157</f>
        <v>3927665.5</v>
      </c>
      <c r="V20" s="64">
        <f>V28+V42+V52+V60+V64+V74+V83+V88+V96+V102+V107+V113+V117+V122+V128+V137+V142+V147+V153+V157</f>
        <v>3456345.5748675298</v>
      </c>
      <c r="W20" s="30">
        <f>W28+W42+W52+W60+W64+W74+W83+W88+W96+W102+W107+W113+W117+W122+W128+W137+W142+W147+W153+W157</f>
        <v>471319.92513247079</v>
      </c>
      <c r="X20" s="64">
        <f>139.6-2.7</f>
        <v>136.9</v>
      </c>
      <c r="Y20" s="70"/>
      <c r="Z20" s="64">
        <f>AA20+AB20</f>
        <v>5470735.5</v>
      </c>
      <c r="AA20" s="64">
        <v>4486003.0999999996</v>
      </c>
      <c r="AB20" s="14">
        <v>984732.4</v>
      </c>
      <c r="AC20" s="31">
        <f>M20+S20+X20</f>
        <v>424.39300000000003</v>
      </c>
      <c r="AD20" s="31">
        <f>O20+U20+Z20</f>
        <v>14373369.703609999</v>
      </c>
      <c r="AE20" s="31">
        <f>AD20+AD23</f>
        <v>14727126.819179999</v>
      </c>
      <c r="AN20" s="64">
        <v>3792827.38</v>
      </c>
    </row>
    <row r="21" spans="1:40" s="27" customFormat="1" ht="19.5" customHeight="1">
      <c r="A21" s="24"/>
      <c r="B21" s="62" t="s">
        <v>12</v>
      </c>
      <c r="C21" s="26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29"/>
      <c r="P21" s="29"/>
      <c r="Q21" s="29"/>
      <c r="R21" s="64"/>
      <c r="S21" s="64"/>
      <c r="T21" s="64"/>
      <c r="U21" s="30"/>
      <c r="V21" s="64"/>
      <c r="W21" s="30"/>
      <c r="X21" s="71"/>
      <c r="Y21" s="67"/>
      <c r="Z21" s="39"/>
      <c r="AA21" s="39"/>
      <c r="AB21" s="76"/>
      <c r="AN21" s="32"/>
    </row>
    <row r="22" spans="1:40" s="27" customFormat="1" ht="26.25" customHeight="1">
      <c r="A22" s="24"/>
      <c r="B22" s="25" t="s">
        <v>28</v>
      </c>
      <c r="C22" s="33"/>
      <c r="D22" s="64">
        <f>D28+D40+D50+D60+D64+D74+D80+D81+D88+D94+D102+D107+D113+D115+D122+D128+D135+D142+D145+D150+D157+(X22-6-6.1-1.6)</f>
        <v>390.31400000000008</v>
      </c>
      <c r="E22" s="18"/>
      <c r="F22" s="64">
        <f>F28+F40+F50+F60+F64+F74+F80+F81+F88+F94+F102+F107+F113+F115+F122+F128+F135+F142+F145+F150+F157+(Z22-Z134-Z106-Z58)+0.05</f>
        <v>14260818.969179999</v>
      </c>
      <c r="G22" s="64">
        <f>G40+G50+G67+G85+G98+G119+G135+G144+G149</f>
        <v>36.61</v>
      </c>
      <c r="H22" s="64"/>
      <c r="I22" s="64">
        <f>I30+I36+I50+I67+I85+I98+I109+I119+I135+I144+I149+I157</f>
        <v>1244847.9122199998</v>
      </c>
      <c r="J22" s="64">
        <f>J40+J50+J67+J85+J98+J109+J119+J135+J144+J157</f>
        <v>3.1999999999534339</v>
      </c>
      <c r="K22" s="64">
        <f>K30+K36+K50+K67+K85+K98+K109+K119+K135+K144+K149+K157</f>
        <v>1244844.7122199999</v>
      </c>
      <c r="L22" s="64"/>
      <c r="M22" s="64">
        <f>M25+M26+M30+M31+M32+M36+M37+M38+M39+M45+M46+M47+M56+M57+M62+M71+M72+M80+M86+M90+M99+M101+M104+M105+M109+M110+M111+M115+M120+M124+M125+M131+M132+M139+M140+M145+M149+M157</f>
        <v>147.50700000000003</v>
      </c>
      <c r="N22" s="64"/>
      <c r="O22" s="64">
        <f>O25+O26+O30+O31+O32+O36+O37+O38+O39+O45+O46+O47+O56+O57+O62+O71+O72+O80+O86+O90+O99+O101+O104+O105+O109+O110+O111+O115+O120+O124+O125+O131+O132+O139+O140+O145+O149+O157+0.1</f>
        <v>4508660.9036100004</v>
      </c>
      <c r="P22" s="64">
        <f t="shared" ref="P22" si="1">P25+P26+P30+P31+P32+P36+P37+P38+P39+P45+P46+P47+P56+P57+P62+P71+P72+P80+P86+P90+P99+P101+P104+P105+P109+P110+P111+P115+P120+P124+P125+P131+P132+P139+P140+P145+P149+P157</f>
        <v>3858805.6000016099</v>
      </c>
      <c r="Q22" s="64">
        <f>Q25+Q26+Q30+Q31+Q32+Q36+Q37+Q38+Q39+Q45+Q46+Q47+Q56+Q57+Q62+Q71+Q72+Q80+Q86+Q90+Q99+Q101+Q104+Q105+Q109+Q110+Q111+Q115+Q120+Q124+Q125+Q131+Q132+Q139+Q140+Q145+Q149+Q157+0.1</f>
        <v>649855.30360839027</v>
      </c>
      <c r="R22" s="64"/>
      <c r="S22" s="64">
        <f>S20</f>
        <v>105.90700000000001</v>
      </c>
      <c r="T22" s="64"/>
      <c r="U22" s="30">
        <f>U20</f>
        <v>3927665.5</v>
      </c>
      <c r="V22" s="64">
        <f>V20</f>
        <v>3456345.5748675298</v>
      </c>
      <c r="W22" s="30">
        <f>W20</f>
        <v>471319.92513247079</v>
      </c>
      <c r="X22" s="64">
        <f>X20</f>
        <v>136.9</v>
      </c>
      <c r="Y22" s="69"/>
      <c r="Z22" s="64">
        <f>Z20</f>
        <v>5470735.5</v>
      </c>
      <c r="AA22" s="64">
        <f>AA20</f>
        <v>4486003.0999999996</v>
      </c>
      <c r="AB22" s="14">
        <f>AB20</f>
        <v>984732.4</v>
      </c>
      <c r="AC22" s="31">
        <f>M22+S22+X22</f>
        <v>390.31400000000008</v>
      </c>
      <c r="AD22" s="31">
        <f>O22+U22+Z22</f>
        <v>13907061.90361</v>
      </c>
      <c r="AE22" s="31">
        <f>AD22+AD23</f>
        <v>14260819.01918</v>
      </c>
      <c r="AN22" s="32"/>
    </row>
    <row r="23" spans="1:40" s="27" customFormat="1" ht="25.5" customHeight="1">
      <c r="A23" s="24"/>
      <c r="B23" s="34" t="s">
        <v>29</v>
      </c>
      <c r="C23" s="33"/>
      <c r="D23" s="64">
        <f>D41+D51+D82+D95+D136+D146+D152+D155</f>
        <v>34.079000000000001</v>
      </c>
      <c r="E23" s="64"/>
      <c r="F23" s="64">
        <f>F41+F51+F82+F95+F136+F146+F152</f>
        <v>466307.8</v>
      </c>
      <c r="G23" s="64">
        <f>G41+G51+G82+G95+G136+G146+G152+G155</f>
        <v>74.371099999999998</v>
      </c>
      <c r="H23" s="64"/>
      <c r="I23" s="64">
        <f>I41+I51+I82+I95+I136+I146+I152+I155</f>
        <v>1449923</v>
      </c>
      <c r="J23" s="64"/>
      <c r="K23" s="64">
        <f>K41+K51+K82+K95+K136+K146+K152+K155</f>
        <v>1449923</v>
      </c>
      <c r="L23" s="64"/>
      <c r="M23" s="64">
        <f>M41+M51+M82+M95+M136+M146+M152+M155</f>
        <v>34.079000000000001</v>
      </c>
      <c r="N23" s="64"/>
      <c r="O23" s="64">
        <f>O41+O51+O82+O95+O136+O146+O152+O155</f>
        <v>466307.8</v>
      </c>
      <c r="P23" s="64"/>
      <c r="Q23" s="64">
        <f>Q41+Q51+Q82+Q95+Q136+Q146+Q152+Q155</f>
        <v>466307.8</v>
      </c>
      <c r="R23" s="64"/>
      <c r="S23" s="64"/>
      <c r="T23" s="64"/>
      <c r="U23" s="30"/>
      <c r="V23" s="64"/>
      <c r="W23" s="30"/>
      <c r="X23" s="64"/>
      <c r="Y23" s="69"/>
      <c r="Z23" s="71"/>
      <c r="AA23" s="39"/>
      <c r="AB23" s="76"/>
      <c r="AD23" s="31">
        <f>AC30+AC36+AC109</f>
        <v>353757.11557000002</v>
      </c>
      <c r="AE23" s="31">
        <f>AE22-F22</f>
        <v>5.000000074505806E-2</v>
      </c>
      <c r="AN23" s="32"/>
    </row>
    <row r="24" spans="1:40" s="27" customFormat="1" ht="30" customHeight="1">
      <c r="A24" s="159" t="s">
        <v>20</v>
      </c>
      <c r="B24" s="160"/>
      <c r="C24" s="15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31"/>
      <c r="V24" s="64"/>
      <c r="W24" s="30"/>
      <c r="X24" s="39"/>
      <c r="Y24" s="67"/>
      <c r="Z24" s="39"/>
      <c r="AA24" s="39"/>
      <c r="AB24" s="76"/>
      <c r="AN24" s="32"/>
    </row>
    <row r="25" spans="1:40" s="27" customFormat="1" ht="52.5" customHeight="1">
      <c r="A25" s="87">
        <v>1</v>
      </c>
      <c r="B25" s="138" t="s">
        <v>149</v>
      </c>
      <c r="C25" s="16" t="s">
        <v>37</v>
      </c>
      <c r="D25" s="17">
        <v>7.069</v>
      </c>
      <c r="E25" s="17"/>
      <c r="F25" s="18">
        <v>305453.70083000005</v>
      </c>
      <c r="G25" s="64"/>
      <c r="H25" s="64"/>
      <c r="I25" s="64"/>
      <c r="J25" s="64"/>
      <c r="K25" s="64"/>
      <c r="L25" s="64"/>
      <c r="M25" s="89">
        <f>D25</f>
        <v>7.069</v>
      </c>
      <c r="N25" s="64"/>
      <c r="O25" s="90">
        <f>F25</f>
        <v>305453.70083000005</v>
      </c>
      <c r="P25" s="90">
        <v>287126.47436102392</v>
      </c>
      <c r="Q25" s="90">
        <f>O25-P25</f>
        <v>18327.226468976121</v>
      </c>
      <c r="R25" s="64"/>
      <c r="S25" s="64"/>
      <c r="T25" s="64"/>
      <c r="U25" s="30"/>
      <c r="V25" s="64"/>
      <c r="W25" s="30"/>
      <c r="X25" s="39"/>
      <c r="Y25" s="67"/>
      <c r="Z25" s="39"/>
      <c r="AA25" s="39"/>
      <c r="AB25" s="76"/>
      <c r="AN25" s="32"/>
    </row>
    <row r="26" spans="1:40" s="27" customFormat="1" ht="43.5" customHeight="1">
      <c r="A26" s="87">
        <v>2</v>
      </c>
      <c r="B26" s="57" t="s">
        <v>129</v>
      </c>
      <c r="C26" s="88" t="s">
        <v>22</v>
      </c>
      <c r="D26" s="89">
        <v>7.6059999999999999</v>
      </c>
      <c r="E26" s="89"/>
      <c r="F26" s="18">
        <f>245612.03788+2670.45993</f>
        <v>248282.49781</v>
      </c>
      <c r="G26" s="148"/>
      <c r="H26" s="148"/>
      <c r="I26" s="148"/>
      <c r="J26" s="148"/>
      <c r="K26" s="148"/>
      <c r="L26" s="148"/>
      <c r="M26" s="89">
        <f>D26</f>
        <v>7.6059999999999999</v>
      </c>
      <c r="N26" s="148"/>
      <c r="O26" s="90">
        <f>F26</f>
        <v>248282.49781</v>
      </c>
      <c r="P26" s="90">
        <v>233385.54434935286</v>
      </c>
      <c r="Q26" s="90">
        <f>O26-P26</f>
        <v>14896.953460647142</v>
      </c>
      <c r="R26" s="148"/>
      <c r="S26" s="89"/>
      <c r="T26" s="89"/>
      <c r="U26" s="90"/>
      <c r="V26" s="18"/>
      <c r="W26" s="36"/>
      <c r="X26" s="39"/>
      <c r="Y26" s="67"/>
      <c r="Z26" s="39"/>
      <c r="AA26" s="39"/>
      <c r="AB26" s="76"/>
      <c r="AN26" s="32"/>
    </row>
    <row r="27" spans="1:40" s="27" customFormat="1" ht="43.5" customHeight="1">
      <c r="A27" s="87">
        <v>3</v>
      </c>
      <c r="B27" s="57" t="s">
        <v>154</v>
      </c>
      <c r="C27" s="141"/>
      <c r="D27" s="89">
        <v>4.7</v>
      </c>
      <c r="E27" s="89"/>
      <c r="F27" s="18">
        <f>D27*35000</f>
        <v>164500</v>
      </c>
      <c r="G27" s="148"/>
      <c r="H27" s="148"/>
      <c r="I27" s="148"/>
      <c r="J27" s="148"/>
      <c r="K27" s="148"/>
      <c r="L27" s="148"/>
      <c r="M27" s="89"/>
      <c r="N27" s="148"/>
      <c r="O27" s="92"/>
      <c r="P27" s="90"/>
      <c r="Q27" s="92"/>
      <c r="R27" s="148"/>
      <c r="S27" s="89">
        <f>D27</f>
        <v>4.7</v>
      </c>
      <c r="T27" s="89"/>
      <c r="U27" s="92">
        <f>F27</f>
        <v>164500</v>
      </c>
      <c r="V27" s="18">
        <f t="shared" ref="V27" si="2">U27*0.879999983231406</f>
        <v>144759.99724156631</v>
      </c>
      <c r="W27" s="36">
        <f>U27-V27</f>
        <v>19740.002758433693</v>
      </c>
      <c r="X27" s="39"/>
      <c r="Y27" s="67"/>
      <c r="Z27" s="39"/>
      <c r="AA27" s="39"/>
      <c r="AB27" s="76"/>
      <c r="AN27" s="32"/>
    </row>
    <row r="28" spans="1:40" s="27" customFormat="1" ht="50.25" customHeight="1">
      <c r="A28" s="180" t="s">
        <v>30</v>
      </c>
      <c r="B28" s="180"/>
      <c r="C28" s="180"/>
      <c r="D28" s="148">
        <f>SUM(D25:D27)</f>
        <v>19.375</v>
      </c>
      <c r="E28" s="148"/>
      <c r="F28" s="148">
        <f>SUM(F25:F27)</f>
        <v>718236.19864000008</v>
      </c>
      <c r="G28" s="148"/>
      <c r="H28" s="148"/>
      <c r="I28" s="148"/>
      <c r="J28" s="148"/>
      <c r="K28" s="148"/>
      <c r="L28" s="148"/>
      <c r="M28" s="148">
        <f>SUM(M25:M26)</f>
        <v>14.675000000000001</v>
      </c>
      <c r="N28" s="148"/>
      <c r="O28" s="91">
        <f>SUM(O25:O26)</f>
        <v>553736.19864000008</v>
      </c>
      <c r="P28" s="64">
        <f>SUM(P25:P26)</f>
        <v>520512.01871037681</v>
      </c>
      <c r="Q28" s="30">
        <f>SUM(Q25:Q26)</f>
        <v>33224.179929623264</v>
      </c>
      <c r="R28" s="148"/>
      <c r="S28" s="148">
        <f>SUM(S27)</f>
        <v>4.7</v>
      </c>
      <c r="T28" s="148"/>
      <c r="U28" s="91">
        <f>SUM(U27)</f>
        <v>164500</v>
      </c>
      <c r="V28" s="64">
        <f>SUM(V27)</f>
        <v>144759.99724156631</v>
      </c>
      <c r="W28" s="30">
        <f>SUM(W27)</f>
        <v>19740.002758433693</v>
      </c>
      <c r="X28" s="39"/>
      <c r="Y28" s="67"/>
      <c r="Z28" s="39"/>
      <c r="AA28" s="39"/>
      <c r="AB28" s="76"/>
      <c r="AN28" s="32"/>
    </row>
    <row r="29" spans="1:40" s="27" customFormat="1" ht="28.5" customHeight="1">
      <c r="A29" s="172" t="s">
        <v>161</v>
      </c>
      <c r="B29" s="173"/>
      <c r="C29" s="174"/>
      <c r="D29" s="89"/>
      <c r="E29" s="147"/>
      <c r="F29" s="148"/>
      <c r="G29" s="90"/>
      <c r="H29" s="90"/>
      <c r="I29" s="90"/>
      <c r="J29" s="90"/>
      <c r="K29" s="90"/>
      <c r="L29" s="90"/>
      <c r="M29" s="90"/>
      <c r="N29" s="88"/>
      <c r="O29" s="90"/>
      <c r="P29" s="90"/>
      <c r="Q29" s="90"/>
      <c r="R29" s="90"/>
      <c r="S29" s="90"/>
      <c r="T29" s="90"/>
      <c r="U29" s="92"/>
      <c r="V29" s="18"/>
      <c r="W29" s="36"/>
      <c r="X29" s="67"/>
      <c r="Y29" s="67"/>
      <c r="Z29" s="39"/>
      <c r="AA29" s="39"/>
      <c r="AB29" s="76"/>
    </row>
    <row r="30" spans="1:40" s="27" customFormat="1" ht="51.75" customHeight="1">
      <c r="A30" s="87">
        <v>4</v>
      </c>
      <c r="B30" s="57" t="s">
        <v>32</v>
      </c>
      <c r="C30" s="88" t="s">
        <v>33</v>
      </c>
      <c r="D30" s="89">
        <f>14.635-8.245</f>
        <v>6.3900000000000006</v>
      </c>
      <c r="E30" s="89"/>
      <c r="F30" s="90">
        <f>I30+O30</f>
        <v>301008.75906000001</v>
      </c>
      <c r="G30" s="89"/>
      <c r="H30" s="90"/>
      <c r="I30" s="90">
        <f>150000+3263.48706+333.5004</f>
        <v>153596.98746</v>
      </c>
      <c r="J30" s="90"/>
      <c r="K30" s="90">
        <f>I30</f>
        <v>153596.98746</v>
      </c>
      <c r="L30" s="90"/>
      <c r="M30" s="89">
        <f>D30</f>
        <v>6.3900000000000006</v>
      </c>
      <c r="N30" s="89"/>
      <c r="O30" s="90">
        <v>147411.77160000001</v>
      </c>
      <c r="P30" s="90">
        <v>138567.06317000001</v>
      </c>
      <c r="Q30" s="90">
        <f>O30-P30</f>
        <v>8844.7084299999988</v>
      </c>
      <c r="R30" s="90"/>
      <c r="S30" s="90"/>
      <c r="T30" s="90"/>
      <c r="U30" s="92"/>
      <c r="V30" s="18"/>
      <c r="W30" s="36"/>
      <c r="X30" s="67"/>
      <c r="Y30" s="67"/>
      <c r="Z30" s="71"/>
      <c r="AA30" s="39"/>
      <c r="AB30" s="76"/>
      <c r="AC30" s="31">
        <f>F30-O30</f>
        <v>153596.98746</v>
      </c>
    </row>
    <row r="31" spans="1:40" s="27" customFormat="1" ht="46.5" customHeight="1">
      <c r="A31" s="87">
        <v>5</v>
      </c>
      <c r="B31" s="57" t="s">
        <v>34</v>
      </c>
      <c r="C31" s="88" t="s">
        <v>22</v>
      </c>
      <c r="D31" s="89">
        <f>(2.975-0.02)+(9.02-6.67)</f>
        <v>5.3049999999999997</v>
      </c>
      <c r="E31" s="93"/>
      <c r="F31" s="90">
        <v>136547.54149999999</v>
      </c>
      <c r="G31" s="89"/>
      <c r="H31" s="90"/>
      <c r="I31" s="90"/>
      <c r="J31" s="90"/>
      <c r="K31" s="90"/>
      <c r="L31" s="90"/>
      <c r="M31" s="89">
        <f>D31</f>
        <v>5.3049999999999997</v>
      </c>
      <c r="N31" s="89"/>
      <c r="O31" s="90">
        <v>136547.54149999999</v>
      </c>
      <c r="P31" s="90">
        <v>128354.68703</v>
      </c>
      <c r="Q31" s="90">
        <f>O31-P31</f>
        <v>8192.8544699999911</v>
      </c>
      <c r="R31" s="90"/>
      <c r="S31" s="90"/>
      <c r="T31" s="90"/>
      <c r="U31" s="92"/>
      <c r="V31" s="18"/>
      <c r="W31" s="36"/>
      <c r="X31" s="67"/>
      <c r="Y31" s="67"/>
      <c r="Z31" s="39"/>
      <c r="AA31" s="39"/>
      <c r="AB31" s="76"/>
    </row>
    <row r="32" spans="1:40" s="27" customFormat="1" ht="31.5" customHeight="1">
      <c r="A32" s="87">
        <v>6</v>
      </c>
      <c r="B32" s="57" t="s">
        <v>35</v>
      </c>
      <c r="C32" s="88" t="s">
        <v>22</v>
      </c>
      <c r="D32" s="93">
        <v>5.05</v>
      </c>
      <c r="E32" s="93"/>
      <c r="F32" s="90">
        <v>137839.47672999999</v>
      </c>
      <c r="G32" s="89"/>
      <c r="H32" s="90"/>
      <c r="I32" s="90"/>
      <c r="J32" s="90"/>
      <c r="K32" s="90"/>
      <c r="L32" s="90"/>
      <c r="M32" s="89">
        <f>D32</f>
        <v>5.05</v>
      </c>
      <c r="N32" s="89"/>
      <c r="O32" s="90">
        <f>F32</f>
        <v>137839.47672999999</v>
      </c>
      <c r="P32" s="90">
        <v>129569.10613</v>
      </c>
      <c r="Q32" s="90">
        <f>O32-P32</f>
        <v>8270.3705999999947</v>
      </c>
      <c r="R32" s="90"/>
      <c r="S32" s="90"/>
      <c r="T32" s="90"/>
      <c r="U32" s="92" t="s">
        <v>36</v>
      </c>
      <c r="V32" s="18"/>
      <c r="W32" s="36"/>
      <c r="X32" s="67"/>
      <c r="Y32" s="67"/>
      <c r="Z32" s="39"/>
      <c r="AA32" s="39"/>
      <c r="AB32" s="76"/>
    </row>
    <row r="33" spans="1:29" s="27" customFormat="1" ht="45.75" customHeight="1">
      <c r="A33" s="87">
        <v>7</v>
      </c>
      <c r="B33" s="94" t="s">
        <v>133</v>
      </c>
      <c r="C33" s="88" t="s">
        <v>33</v>
      </c>
      <c r="D33" s="93">
        <v>1.4</v>
      </c>
      <c r="E33" s="93"/>
      <c r="F33" s="90">
        <v>173495.98538</v>
      </c>
      <c r="G33" s="89"/>
      <c r="H33" s="90"/>
      <c r="I33" s="90"/>
      <c r="J33" s="90"/>
      <c r="K33" s="90"/>
      <c r="L33" s="90"/>
      <c r="M33" s="89"/>
      <c r="N33" s="89"/>
      <c r="O33" s="90"/>
      <c r="P33" s="90"/>
      <c r="Q33" s="90"/>
      <c r="R33" s="90"/>
      <c r="S33" s="93">
        <f>D33</f>
        <v>1.4</v>
      </c>
      <c r="T33" s="90"/>
      <c r="U33" s="92">
        <f>F33</f>
        <v>173495.98538</v>
      </c>
      <c r="V33" s="18">
        <v>152676.46422511627</v>
      </c>
      <c r="W33" s="36">
        <f>U33-V33</f>
        <v>20819.521154883725</v>
      </c>
      <c r="X33" s="67"/>
      <c r="Y33" s="67"/>
      <c r="Z33" s="39"/>
      <c r="AA33" s="39"/>
      <c r="AB33" s="76"/>
    </row>
    <row r="34" spans="1:29" s="27" customFormat="1" ht="27" customHeight="1">
      <c r="A34" s="87">
        <v>8</v>
      </c>
      <c r="B34" s="57" t="s">
        <v>38</v>
      </c>
      <c r="C34" s="88" t="s">
        <v>22</v>
      </c>
      <c r="D34" s="93">
        <v>2.9</v>
      </c>
      <c r="E34" s="93"/>
      <c r="F34" s="90">
        <v>87020.69094</v>
      </c>
      <c r="G34" s="89"/>
      <c r="H34" s="90"/>
      <c r="I34" s="90" t="s">
        <v>39</v>
      </c>
      <c r="J34" s="90"/>
      <c r="K34" s="90"/>
      <c r="L34" s="90"/>
      <c r="M34" s="89"/>
      <c r="N34" s="89"/>
      <c r="O34" s="90"/>
      <c r="P34" s="90"/>
      <c r="Q34" s="90"/>
      <c r="R34" s="90"/>
      <c r="S34" s="93">
        <f>D34</f>
        <v>2.9</v>
      </c>
      <c r="T34" s="90"/>
      <c r="U34" s="92">
        <f>F34</f>
        <v>87020.69094</v>
      </c>
      <c r="V34" s="18">
        <f t="shared" ref="V34:V35" si="3">U34*0.879999983231406</f>
        <v>76578.206567985369</v>
      </c>
      <c r="W34" s="36">
        <f>U34-V34</f>
        <v>10442.484372014631</v>
      </c>
      <c r="X34" s="67"/>
      <c r="Y34" s="67"/>
      <c r="Z34" s="39"/>
      <c r="AA34" s="39"/>
      <c r="AB34" s="76"/>
    </row>
    <row r="35" spans="1:29" s="27" customFormat="1" ht="48.75" customHeight="1">
      <c r="A35" s="87">
        <v>9</v>
      </c>
      <c r="B35" s="57" t="s">
        <v>40</v>
      </c>
      <c r="C35" s="88" t="s">
        <v>33</v>
      </c>
      <c r="D35" s="93">
        <v>1.48</v>
      </c>
      <c r="E35" s="93"/>
      <c r="F35" s="90">
        <v>150058.86895</v>
      </c>
      <c r="G35" s="89"/>
      <c r="H35" s="90"/>
      <c r="I35" s="90"/>
      <c r="J35" s="90"/>
      <c r="K35" s="90"/>
      <c r="L35" s="90"/>
      <c r="M35" s="89"/>
      <c r="N35" s="89"/>
      <c r="O35" s="90"/>
      <c r="P35" s="90"/>
      <c r="Q35" s="90"/>
      <c r="R35" s="90"/>
      <c r="S35" s="93">
        <f>D35</f>
        <v>1.48</v>
      </c>
      <c r="T35" s="90"/>
      <c r="U35" s="92">
        <f>F35</f>
        <v>150058.86895</v>
      </c>
      <c r="V35" s="18">
        <f t="shared" si="3"/>
        <v>132051.80215972377</v>
      </c>
      <c r="W35" s="36">
        <f>U35-V35</f>
        <v>18007.066790276236</v>
      </c>
      <c r="X35" s="67"/>
      <c r="Y35" s="67"/>
      <c r="Z35" s="39"/>
      <c r="AA35" s="39"/>
      <c r="AB35" s="76"/>
    </row>
    <row r="36" spans="1:29" s="27" customFormat="1" ht="48" customHeight="1">
      <c r="A36" s="87">
        <v>10</v>
      </c>
      <c r="B36" s="57" t="s">
        <v>41</v>
      </c>
      <c r="C36" s="88" t="s">
        <v>22</v>
      </c>
      <c r="D36" s="93">
        <f>3.65-0.745</f>
        <v>2.9049999999999998</v>
      </c>
      <c r="E36" s="93"/>
      <c r="F36" s="90">
        <f>I36+O36</f>
        <v>79845.642900000006</v>
      </c>
      <c r="G36" s="89"/>
      <c r="H36" s="90"/>
      <c r="I36" s="90">
        <v>50160.128109999998</v>
      </c>
      <c r="J36" s="90"/>
      <c r="K36" s="90">
        <f>I36</f>
        <v>50160.128109999998</v>
      </c>
      <c r="L36" s="90"/>
      <c r="M36" s="89">
        <f>D36</f>
        <v>2.9049999999999998</v>
      </c>
      <c r="N36" s="89"/>
      <c r="O36" s="90">
        <v>29685.514790000001</v>
      </c>
      <c r="P36" s="90">
        <v>27904.383470000001</v>
      </c>
      <c r="Q36" s="90">
        <f>O36-P36</f>
        <v>1781.1313200000004</v>
      </c>
      <c r="R36" s="90"/>
      <c r="S36" s="93"/>
      <c r="T36" s="90"/>
      <c r="U36" s="92"/>
      <c r="V36" s="18"/>
      <c r="W36" s="36"/>
      <c r="X36" s="67"/>
      <c r="Y36" s="67"/>
      <c r="Z36" s="71"/>
      <c r="AA36" s="39"/>
      <c r="AB36" s="76"/>
      <c r="AC36" s="31">
        <f>F36-O36</f>
        <v>50160.128110000005</v>
      </c>
    </row>
    <row r="37" spans="1:29" s="27" customFormat="1" ht="47.25" customHeight="1">
      <c r="A37" s="87">
        <v>11</v>
      </c>
      <c r="B37" s="57" t="s">
        <v>125</v>
      </c>
      <c r="C37" s="88" t="s">
        <v>22</v>
      </c>
      <c r="D37" s="93">
        <v>1.4</v>
      </c>
      <c r="E37" s="93"/>
      <c r="F37" s="90">
        <v>36067.305959999998</v>
      </c>
      <c r="G37" s="89"/>
      <c r="H37" s="90"/>
      <c r="I37" s="90"/>
      <c r="J37" s="90"/>
      <c r="K37" s="90"/>
      <c r="L37" s="90"/>
      <c r="M37" s="89">
        <f>D37</f>
        <v>1.4</v>
      </c>
      <c r="N37" s="89"/>
      <c r="O37" s="90">
        <f>F37</f>
        <v>36067.305959999998</v>
      </c>
      <c r="P37" s="90">
        <v>33903.267079999998</v>
      </c>
      <c r="Q37" s="90">
        <f>O37-P37</f>
        <v>2164.0388800000001</v>
      </c>
      <c r="R37" s="90"/>
      <c r="S37" s="93"/>
      <c r="T37" s="90"/>
      <c r="U37" s="92"/>
      <c r="V37" s="18"/>
      <c r="W37" s="36"/>
      <c r="X37" s="67"/>
      <c r="Y37" s="67"/>
      <c r="Z37" s="39"/>
      <c r="AA37" s="39"/>
      <c r="AB37" s="76"/>
    </row>
    <row r="38" spans="1:29" s="27" customFormat="1" ht="45.75" customHeight="1">
      <c r="A38" s="87">
        <v>12</v>
      </c>
      <c r="B38" s="57" t="s">
        <v>150</v>
      </c>
      <c r="C38" s="88" t="s">
        <v>33</v>
      </c>
      <c r="D38" s="93">
        <f>M38+S38</f>
        <v>3</v>
      </c>
      <c r="E38" s="93"/>
      <c r="F38" s="90">
        <f>O38+U38</f>
        <v>263548.40000000002</v>
      </c>
      <c r="G38" s="89"/>
      <c r="H38" s="90"/>
      <c r="I38" s="90"/>
      <c r="J38" s="90"/>
      <c r="K38" s="90"/>
      <c r="L38" s="90"/>
      <c r="M38" s="89">
        <v>3</v>
      </c>
      <c r="N38" s="89"/>
      <c r="O38" s="90">
        <v>263548.40000000002</v>
      </c>
      <c r="P38" s="90"/>
      <c r="Q38" s="90">
        <f>O38</f>
        <v>263548.40000000002</v>
      </c>
      <c r="R38" s="90"/>
      <c r="S38" s="93"/>
      <c r="T38" s="90"/>
      <c r="U38" s="92"/>
      <c r="V38" s="18"/>
      <c r="W38" s="36"/>
      <c r="X38" s="67"/>
      <c r="Y38" s="67"/>
      <c r="Z38" s="39"/>
      <c r="AA38" s="39"/>
      <c r="AB38" s="76"/>
    </row>
    <row r="39" spans="1:29" s="27" customFormat="1" ht="45.75" customHeight="1">
      <c r="A39" s="87">
        <v>13</v>
      </c>
      <c r="B39" s="57" t="s">
        <v>151</v>
      </c>
      <c r="C39" s="88" t="s">
        <v>33</v>
      </c>
      <c r="D39" s="93">
        <v>1.6</v>
      </c>
      <c r="E39" s="93"/>
      <c r="F39" s="90">
        <v>135517.44039999999</v>
      </c>
      <c r="G39" s="89"/>
      <c r="H39" s="90"/>
      <c r="I39" s="90"/>
      <c r="J39" s="90"/>
      <c r="K39" s="90"/>
      <c r="L39" s="90"/>
      <c r="M39" s="89">
        <f>D39</f>
        <v>1.6</v>
      </c>
      <c r="N39" s="89"/>
      <c r="O39" s="90">
        <f>F39</f>
        <v>135517.44039999999</v>
      </c>
      <c r="P39" s="90">
        <v>127386.39201539045</v>
      </c>
      <c r="Q39" s="90">
        <f>O39-P39</f>
        <v>8131.0483846095449</v>
      </c>
      <c r="R39" s="90"/>
      <c r="S39" s="93"/>
      <c r="T39" s="90"/>
      <c r="U39" s="92"/>
      <c r="V39" s="18"/>
      <c r="W39" s="36"/>
      <c r="X39" s="67"/>
      <c r="Y39" s="67"/>
      <c r="Z39" s="39"/>
      <c r="AA39" s="39"/>
      <c r="AB39" s="76"/>
    </row>
    <row r="40" spans="1:29" s="27" customFormat="1" ht="26.25" customHeight="1">
      <c r="A40" s="149"/>
      <c r="B40" s="57" t="s">
        <v>42</v>
      </c>
      <c r="C40" s="88"/>
      <c r="D40" s="95">
        <f>SUM(D30:D39)</f>
        <v>31.43</v>
      </c>
      <c r="E40" s="90"/>
      <c r="F40" s="90">
        <f>SUM(F30:F39)</f>
        <v>1500950.11182</v>
      </c>
      <c r="G40" s="90">
        <f>SUM(G30:G32)</f>
        <v>0</v>
      </c>
      <c r="H40" s="95"/>
      <c r="I40" s="90">
        <f>SUM(I30:I36)</f>
        <v>203757.11556999999</v>
      </c>
      <c r="J40" s="90"/>
      <c r="K40" s="90">
        <f>SUM(K30:K36)</f>
        <v>203757.11556999999</v>
      </c>
      <c r="L40" s="90"/>
      <c r="M40" s="95">
        <f>SUM(M30:M39)</f>
        <v>25.650000000000002</v>
      </c>
      <c r="N40" s="95"/>
      <c r="O40" s="90">
        <f>SUM(O30:O39)</f>
        <v>886617.45097999997</v>
      </c>
      <c r="P40" s="90">
        <f>SUM(P30:P39)</f>
        <v>585684.89889539045</v>
      </c>
      <c r="Q40" s="90">
        <f>SUM(Q30:Q39)</f>
        <v>300932.55208460952</v>
      </c>
      <c r="R40" s="148"/>
      <c r="S40" s="89">
        <f>SUM(S33:S38)</f>
        <v>5.7799999999999994</v>
      </c>
      <c r="T40" s="90"/>
      <c r="U40" s="92">
        <f>SUM(U33:U38)</f>
        <v>410575.54527</v>
      </c>
      <c r="V40" s="18">
        <f t="shared" ref="V40" si="4">U40*0.879999983231406</f>
        <v>361306.47295282542</v>
      </c>
      <c r="W40" s="36">
        <f t="shared" ref="W40" si="5">SUM(W33:W38)</f>
        <v>49269.072317174592</v>
      </c>
      <c r="X40" s="67"/>
      <c r="Y40" s="67"/>
      <c r="Z40" s="39"/>
      <c r="AA40" s="39"/>
      <c r="AB40" s="76"/>
    </row>
    <row r="41" spans="1:29" s="27" customFormat="1" ht="39" customHeight="1">
      <c r="A41" s="149"/>
      <c r="B41" s="57" t="s">
        <v>43</v>
      </c>
      <c r="C41" s="88"/>
      <c r="D41" s="95">
        <f>M41</f>
        <v>8.9819999999999993</v>
      </c>
      <c r="E41" s="95"/>
      <c r="F41" s="90">
        <f>O41</f>
        <v>68136.2</v>
      </c>
      <c r="G41" s="95">
        <v>21.892099999999999</v>
      </c>
      <c r="H41" s="95"/>
      <c r="I41" s="90">
        <f>329407+74511</f>
        <v>403918</v>
      </c>
      <c r="J41" s="90"/>
      <c r="K41" s="90">
        <f>I41</f>
        <v>403918</v>
      </c>
      <c r="L41" s="90"/>
      <c r="M41" s="90">
        <v>8.9819999999999993</v>
      </c>
      <c r="N41" s="96"/>
      <c r="O41" s="90">
        <v>68136.2</v>
      </c>
      <c r="P41" s="90"/>
      <c r="Q41" s="90">
        <f>O41</f>
        <v>68136.2</v>
      </c>
      <c r="R41" s="148"/>
      <c r="S41" s="148"/>
      <c r="T41" s="148"/>
      <c r="U41" s="91"/>
      <c r="V41" s="64"/>
      <c r="W41" s="30"/>
      <c r="X41" s="67"/>
      <c r="Y41" s="67"/>
      <c r="Z41" s="39"/>
      <c r="AA41" s="39"/>
      <c r="AB41" s="76"/>
    </row>
    <row r="42" spans="1:29" s="27" customFormat="1" ht="29.25" customHeight="1">
      <c r="A42" s="172" t="s">
        <v>162</v>
      </c>
      <c r="B42" s="173"/>
      <c r="C42" s="174"/>
      <c r="D42" s="96">
        <f>D40+D41</f>
        <v>40.411999999999999</v>
      </c>
      <c r="E42" s="96"/>
      <c r="F42" s="148">
        <f>F40+F41</f>
        <v>1569086.3118199999</v>
      </c>
      <c r="G42" s="96">
        <f>G40+G41</f>
        <v>21.892099999999999</v>
      </c>
      <c r="H42" s="96"/>
      <c r="I42" s="148">
        <f>I40+I41</f>
        <v>607675.11557000002</v>
      </c>
      <c r="J42" s="148">
        <f>J40+J41</f>
        <v>0</v>
      </c>
      <c r="K42" s="148">
        <f>K40+K41</f>
        <v>607675.11557000002</v>
      </c>
      <c r="L42" s="148"/>
      <c r="M42" s="96">
        <f>M40+M41</f>
        <v>34.632000000000005</v>
      </c>
      <c r="N42" s="96"/>
      <c r="O42" s="148">
        <f>O40+O41</f>
        <v>954753.65097999992</v>
      </c>
      <c r="P42" s="148">
        <f>P40+P41</f>
        <v>585684.89889539045</v>
      </c>
      <c r="Q42" s="148">
        <f>Q40+Q41</f>
        <v>369068.75208460953</v>
      </c>
      <c r="R42" s="148"/>
      <c r="S42" s="96">
        <f>S40+S41</f>
        <v>5.7799999999999994</v>
      </c>
      <c r="T42" s="96"/>
      <c r="U42" s="148">
        <f>U40+U41</f>
        <v>410575.54527</v>
      </c>
      <c r="V42" s="64">
        <f>V40+V41</f>
        <v>361306.47295282542</v>
      </c>
      <c r="W42" s="30">
        <f>W40+W41</f>
        <v>49269.072317174592</v>
      </c>
      <c r="X42" s="69"/>
      <c r="Y42" s="67"/>
      <c r="Z42" s="39"/>
      <c r="AA42" s="39"/>
      <c r="AB42" s="76"/>
    </row>
    <row r="43" spans="1:29" s="27" customFormat="1" ht="27.75" customHeight="1">
      <c r="A43" s="172" t="s">
        <v>163</v>
      </c>
      <c r="B43" s="173"/>
      <c r="C43" s="174"/>
      <c r="D43" s="93"/>
      <c r="E43" s="147"/>
      <c r="F43" s="148"/>
      <c r="G43" s="88"/>
      <c r="H43" s="90"/>
      <c r="I43" s="90"/>
      <c r="J43" s="90"/>
      <c r="K43" s="90"/>
      <c r="L43" s="90"/>
      <c r="M43" s="90"/>
      <c r="N43" s="88"/>
      <c r="O43" s="90"/>
      <c r="P43" s="90"/>
      <c r="Q43" s="90"/>
      <c r="R43" s="90"/>
      <c r="S43" s="90"/>
      <c r="T43" s="90"/>
      <c r="U43" s="92"/>
      <c r="V43" s="18"/>
      <c r="W43" s="36"/>
      <c r="X43" s="67"/>
      <c r="Y43" s="67"/>
      <c r="Z43" s="39"/>
      <c r="AA43" s="39"/>
      <c r="AB43" s="76"/>
    </row>
    <row r="44" spans="1:29" s="27" customFormat="1" ht="40.35" hidden="1" customHeight="1">
      <c r="A44" s="87">
        <v>11</v>
      </c>
      <c r="B44" s="57" t="s">
        <v>44</v>
      </c>
      <c r="C44" s="88" t="s">
        <v>37</v>
      </c>
      <c r="D44" s="93">
        <f>42.63-37</f>
        <v>5.6300000000000026</v>
      </c>
      <c r="E44" s="93"/>
      <c r="F44" s="90">
        <v>141076.03742000001</v>
      </c>
      <c r="G44" s="89">
        <f>D44</f>
        <v>5.6300000000000026</v>
      </c>
      <c r="H44" s="90"/>
      <c r="I44" s="90">
        <f>F44</f>
        <v>141076.03742000001</v>
      </c>
      <c r="J44" s="90"/>
      <c r="K44" s="90">
        <f>I44</f>
        <v>141076.03742000001</v>
      </c>
      <c r="L44" s="90"/>
      <c r="M44" s="90"/>
      <c r="N44" s="89"/>
      <c r="O44" s="90"/>
      <c r="P44" s="90"/>
      <c r="Q44" s="90"/>
      <c r="R44" s="90"/>
      <c r="S44" s="90"/>
      <c r="T44" s="90"/>
      <c r="U44" s="92"/>
      <c r="V44" s="18"/>
      <c r="W44" s="36"/>
      <c r="X44" s="67"/>
      <c r="Y44" s="67"/>
      <c r="Z44" s="39"/>
      <c r="AA44" s="39"/>
      <c r="AB44" s="76"/>
    </row>
    <row r="45" spans="1:29" s="27" customFormat="1" ht="69.75" customHeight="1">
      <c r="A45" s="87">
        <v>14</v>
      </c>
      <c r="B45" s="57" t="s">
        <v>45</v>
      </c>
      <c r="C45" s="88" t="s">
        <v>22</v>
      </c>
      <c r="D45" s="93">
        <f>4-0.015</f>
        <v>3.9849999999999999</v>
      </c>
      <c r="E45" s="93"/>
      <c r="F45" s="90">
        <v>103944.8</v>
      </c>
      <c r="G45" s="89"/>
      <c r="H45" s="90"/>
      <c r="I45" s="90"/>
      <c r="J45" s="90"/>
      <c r="K45" s="90"/>
      <c r="L45" s="90"/>
      <c r="M45" s="89">
        <f>D45</f>
        <v>3.9849999999999999</v>
      </c>
      <c r="N45" s="89"/>
      <c r="O45" s="90">
        <f>F45</f>
        <v>103944.8</v>
      </c>
      <c r="P45" s="90">
        <v>97708.110499999995</v>
      </c>
      <c r="Q45" s="90">
        <f>O45-P45</f>
        <v>6236.6895000000077</v>
      </c>
      <c r="R45" s="90"/>
      <c r="S45" s="90"/>
      <c r="T45" s="90"/>
      <c r="U45" s="92"/>
      <c r="V45" s="18"/>
      <c r="W45" s="36"/>
      <c r="X45" s="67"/>
      <c r="Y45" s="67"/>
      <c r="Z45" s="39"/>
      <c r="AA45" s="39"/>
      <c r="AB45" s="76"/>
    </row>
    <row r="46" spans="1:29" s="27" customFormat="1" ht="47.25" customHeight="1">
      <c r="A46" s="87">
        <v>15</v>
      </c>
      <c r="B46" s="138" t="s">
        <v>152</v>
      </c>
      <c r="C46" s="16" t="s">
        <v>22</v>
      </c>
      <c r="D46" s="139">
        <v>0.5</v>
      </c>
      <c r="E46" s="93"/>
      <c r="F46" s="90">
        <v>19761.765729999999</v>
      </c>
      <c r="G46" s="89"/>
      <c r="H46" s="90"/>
      <c r="I46" s="90"/>
      <c r="J46" s="90"/>
      <c r="K46" s="90"/>
      <c r="L46" s="90"/>
      <c r="M46" s="89">
        <f>D46</f>
        <v>0.5</v>
      </c>
      <c r="N46" s="89"/>
      <c r="O46" s="90">
        <f>F46</f>
        <v>19761.765729999999</v>
      </c>
      <c r="P46" s="90">
        <v>18576.059500295054</v>
      </c>
      <c r="Q46" s="90">
        <f t="shared" ref="Q46:Q47" si="6">O46-P46</f>
        <v>1185.7062297049451</v>
      </c>
      <c r="R46" s="90"/>
      <c r="S46" s="90"/>
      <c r="T46" s="90"/>
      <c r="U46" s="92"/>
      <c r="V46" s="18"/>
      <c r="W46" s="36"/>
      <c r="X46" s="67"/>
      <c r="Y46" s="67"/>
      <c r="Z46" s="39"/>
      <c r="AA46" s="39"/>
      <c r="AB46" s="76"/>
    </row>
    <row r="47" spans="1:29" s="27" customFormat="1" ht="49.5" customHeight="1">
      <c r="A47" s="87">
        <v>16</v>
      </c>
      <c r="B47" s="138" t="s">
        <v>153</v>
      </c>
      <c r="C47" s="16" t="s">
        <v>22</v>
      </c>
      <c r="D47" s="139">
        <v>6.5</v>
      </c>
      <c r="E47" s="93"/>
      <c r="F47" s="90">
        <v>188475.20442999998</v>
      </c>
      <c r="G47" s="89"/>
      <c r="H47" s="90"/>
      <c r="I47" s="90"/>
      <c r="J47" s="90"/>
      <c r="K47" s="90"/>
      <c r="L47" s="90"/>
      <c r="M47" s="89">
        <f>D47</f>
        <v>6.5</v>
      </c>
      <c r="N47" s="89"/>
      <c r="O47" s="90">
        <f>F47</f>
        <v>188475.20442999998</v>
      </c>
      <c r="P47" s="90">
        <v>177166.6894374197</v>
      </c>
      <c r="Q47" s="90">
        <f t="shared" si="6"/>
        <v>11308.514992580283</v>
      </c>
      <c r="R47" s="90"/>
      <c r="S47" s="90"/>
      <c r="T47" s="90"/>
      <c r="U47" s="92"/>
      <c r="V47" s="18"/>
      <c r="W47" s="36"/>
      <c r="X47" s="67"/>
      <c r="Y47" s="67"/>
      <c r="Z47" s="39"/>
      <c r="AA47" s="39"/>
      <c r="AB47" s="76"/>
    </row>
    <row r="48" spans="1:29" s="27" customFormat="1" ht="42" customHeight="1">
      <c r="A48" s="87">
        <v>17</v>
      </c>
      <c r="B48" s="57" t="s">
        <v>142</v>
      </c>
      <c r="C48" s="16" t="s">
        <v>22</v>
      </c>
      <c r="D48" s="93">
        <v>3.5</v>
      </c>
      <c r="E48" s="93"/>
      <c r="F48" s="90">
        <v>144889.48271000001</v>
      </c>
      <c r="G48" s="89"/>
      <c r="H48" s="90" t="s">
        <v>36</v>
      </c>
      <c r="I48" s="90" t="s">
        <v>36</v>
      </c>
      <c r="J48" s="90"/>
      <c r="K48" s="90"/>
      <c r="L48" s="90" t="s">
        <v>36</v>
      </c>
      <c r="M48" s="89"/>
      <c r="N48" s="89"/>
      <c r="O48" s="90"/>
      <c r="P48" s="90"/>
      <c r="Q48" s="90"/>
      <c r="R48" s="90"/>
      <c r="S48" s="89">
        <f>D48</f>
        <v>3.5</v>
      </c>
      <c r="T48" s="90"/>
      <c r="U48" s="92">
        <f>F48</f>
        <v>144889.48271000001</v>
      </c>
      <c r="V48" s="18">
        <f t="shared" ref="V48" si="7">U48*0.879999983231406</f>
        <v>127502.74235520711</v>
      </c>
      <c r="W48" s="36">
        <f>U48-V48</f>
        <v>17386.740354792899</v>
      </c>
      <c r="X48" s="67"/>
      <c r="Y48" s="67"/>
      <c r="Z48" s="39"/>
      <c r="AA48" s="39"/>
      <c r="AB48" s="76"/>
    </row>
    <row r="49" spans="1:28" s="27" customFormat="1" ht="42" customHeight="1">
      <c r="A49" s="87">
        <v>18</v>
      </c>
      <c r="B49" s="57" t="s">
        <v>155</v>
      </c>
      <c r="C49" s="16" t="s">
        <v>22</v>
      </c>
      <c r="D49" s="93">
        <v>4.2480000000000002</v>
      </c>
      <c r="E49" s="93"/>
      <c r="F49" s="90">
        <v>180000</v>
      </c>
      <c r="G49" s="89"/>
      <c r="H49" s="90"/>
      <c r="I49" s="90"/>
      <c r="J49" s="90"/>
      <c r="K49" s="90"/>
      <c r="L49" s="90"/>
      <c r="M49" s="89"/>
      <c r="N49" s="89"/>
      <c r="O49" s="90"/>
      <c r="P49" s="90"/>
      <c r="Q49" s="90"/>
      <c r="R49" s="90"/>
      <c r="S49" s="89">
        <f>D49</f>
        <v>4.2480000000000002</v>
      </c>
      <c r="T49" s="90"/>
      <c r="U49" s="92">
        <f>F49</f>
        <v>180000</v>
      </c>
      <c r="V49" s="18">
        <v>158399.99698165309</v>
      </c>
      <c r="W49" s="36">
        <f>U49-V49</f>
        <v>21600.003018346906</v>
      </c>
      <c r="X49" s="67"/>
      <c r="Y49" s="67"/>
      <c r="Z49" s="39"/>
      <c r="AA49" s="39"/>
      <c r="AB49" s="76"/>
    </row>
    <row r="50" spans="1:28" s="27" customFormat="1" ht="27.75" customHeight="1">
      <c r="A50" s="97"/>
      <c r="B50" s="57" t="s">
        <v>42</v>
      </c>
      <c r="C50" s="88"/>
      <c r="D50" s="98">
        <f>SUM(D45:D49)</f>
        <v>18.733000000000001</v>
      </c>
      <c r="E50" s="90"/>
      <c r="F50" s="98">
        <f>SUM(F45:F49)</f>
        <v>637071.25286999997</v>
      </c>
      <c r="G50" s="98">
        <f>SUM(G44:G44)</f>
        <v>5.6300000000000026</v>
      </c>
      <c r="H50" s="93"/>
      <c r="I50" s="90">
        <f>SUM(I44:I44)</f>
        <v>141076.03742000001</v>
      </c>
      <c r="J50" s="90">
        <f>SUM(J44:J44)</f>
        <v>0</v>
      </c>
      <c r="K50" s="90">
        <f>SUM(K44:K44)</f>
        <v>141076.03742000001</v>
      </c>
      <c r="L50" s="90"/>
      <c r="M50" s="98">
        <f>SUM(M45:M48)</f>
        <v>10.984999999999999</v>
      </c>
      <c r="N50" s="89"/>
      <c r="O50" s="98">
        <f>SUM(O45:O48)</f>
        <v>312181.77015999996</v>
      </c>
      <c r="P50" s="98">
        <f>SUM(P45:P48)</f>
        <v>293450.85943771474</v>
      </c>
      <c r="Q50" s="98">
        <f>SUM(Q45:Q48)</f>
        <v>18730.910722285236</v>
      </c>
      <c r="R50" s="90"/>
      <c r="S50" s="98">
        <f>SUM(S48:S49)</f>
        <v>7.7480000000000002</v>
      </c>
      <c r="T50" s="90"/>
      <c r="U50" s="98">
        <f>SUM(U48:U49)</f>
        <v>324889.48271000001</v>
      </c>
      <c r="V50" s="38">
        <f>SUM(V48:V49)</f>
        <v>285902.73933686019</v>
      </c>
      <c r="W50" s="38">
        <f>SUM(W48:W49)</f>
        <v>38986.743373139805</v>
      </c>
      <c r="X50" s="67"/>
      <c r="Y50" s="67"/>
      <c r="Z50" s="39"/>
      <c r="AA50" s="39"/>
      <c r="AB50" s="76"/>
    </row>
    <row r="51" spans="1:28" s="27" customFormat="1" ht="24.75" customHeight="1">
      <c r="A51" s="97"/>
      <c r="B51" s="57" t="s">
        <v>43</v>
      </c>
      <c r="C51" s="88"/>
      <c r="D51" s="95">
        <f>M51</f>
        <v>5.3869999999999996</v>
      </c>
      <c r="E51" s="95"/>
      <c r="F51" s="90">
        <f>O51</f>
        <v>46784.5</v>
      </c>
      <c r="G51" s="98">
        <v>10.148</v>
      </c>
      <c r="H51" s="93"/>
      <c r="I51" s="90">
        <v>76863</v>
      </c>
      <c r="J51" s="90"/>
      <c r="K51" s="90">
        <f>I51</f>
        <v>76863</v>
      </c>
      <c r="L51" s="90"/>
      <c r="M51" s="99">
        <v>5.3869999999999996</v>
      </c>
      <c r="N51" s="89"/>
      <c r="O51" s="90">
        <v>46784.5</v>
      </c>
      <c r="P51" s="89"/>
      <c r="Q51" s="90">
        <f>O51</f>
        <v>46784.5</v>
      </c>
      <c r="R51" s="90"/>
      <c r="S51" s="90"/>
      <c r="T51" s="90"/>
      <c r="U51" s="92"/>
      <c r="V51" s="18"/>
      <c r="W51" s="36"/>
      <c r="X51" s="67"/>
      <c r="Y51" s="67"/>
      <c r="Z51" s="39"/>
      <c r="AA51" s="39"/>
      <c r="AB51" s="76"/>
    </row>
    <row r="52" spans="1:28" s="27" customFormat="1" ht="29.25" customHeight="1">
      <c r="A52" s="172" t="s">
        <v>164</v>
      </c>
      <c r="B52" s="173"/>
      <c r="C52" s="174"/>
      <c r="D52" s="96">
        <f>SUM(D50:D51)</f>
        <v>24.12</v>
      </c>
      <c r="E52" s="96"/>
      <c r="F52" s="148">
        <f>SUM(F50:F51)</f>
        <v>683855.75286999997</v>
      </c>
      <c r="G52" s="96">
        <f>SUM(G50:G51)</f>
        <v>15.778000000000002</v>
      </c>
      <c r="H52" s="96"/>
      <c r="I52" s="148">
        <f>SUM(I50:I51)</f>
        <v>217939.03742000001</v>
      </c>
      <c r="J52" s="148">
        <f>SUM(J50:J51)</f>
        <v>0</v>
      </c>
      <c r="K52" s="148">
        <f>SUM(K50:K51)</f>
        <v>217939.03742000001</v>
      </c>
      <c r="L52" s="148"/>
      <c r="M52" s="148">
        <f>SUM(M50:M51)</f>
        <v>16.372</v>
      </c>
      <c r="N52" s="96"/>
      <c r="O52" s="148">
        <f>SUM(O50:O51)</f>
        <v>358966.27015999996</v>
      </c>
      <c r="P52" s="148">
        <f>SUM(P50:P51)</f>
        <v>293450.85943771474</v>
      </c>
      <c r="Q52" s="148">
        <f>SUM(Q50:Q51)</f>
        <v>65515.410722285233</v>
      </c>
      <c r="R52" s="148"/>
      <c r="S52" s="148">
        <f>SUM(S50:S51)</f>
        <v>7.7480000000000002</v>
      </c>
      <c r="T52" s="96"/>
      <c r="U52" s="148">
        <f>SUM(U50:U51)</f>
        <v>324889.48271000001</v>
      </c>
      <c r="V52" s="64">
        <f>SUM(V50:V51)</f>
        <v>285902.73933686019</v>
      </c>
      <c r="W52" s="30">
        <f>SUM(W50:W51)</f>
        <v>38986.743373139805</v>
      </c>
      <c r="X52" s="69"/>
      <c r="Y52" s="67"/>
      <c r="Z52" s="39"/>
      <c r="AA52" s="39"/>
      <c r="AB52" s="76"/>
    </row>
    <row r="53" spans="1:28" s="27" customFormat="1" ht="30" customHeight="1">
      <c r="A53" s="172" t="s">
        <v>46</v>
      </c>
      <c r="B53" s="173"/>
      <c r="C53" s="174"/>
      <c r="D53" s="93"/>
      <c r="E53" s="147"/>
      <c r="F53" s="148"/>
      <c r="G53" s="88"/>
      <c r="H53" s="90"/>
      <c r="I53" s="90"/>
      <c r="J53" s="90"/>
      <c r="K53" s="90"/>
      <c r="L53" s="90"/>
      <c r="M53" s="90"/>
      <c r="N53" s="88"/>
      <c r="O53" s="90"/>
      <c r="P53" s="90"/>
      <c r="Q53" s="90"/>
      <c r="R53" s="90"/>
      <c r="S53" s="90"/>
      <c r="T53" s="90"/>
      <c r="U53" s="92"/>
      <c r="V53" s="18"/>
      <c r="W53" s="36"/>
      <c r="X53" s="67"/>
      <c r="Y53" s="67"/>
      <c r="Z53" s="39"/>
      <c r="AA53" s="39"/>
      <c r="AB53" s="76"/>
    </row>
    <row r="54" spans="1:28" s="27" customFormat="1" ht="43.5" hidden="1" customHeight="1">
      <c r="A54" s="97"/>
      <c r="B54" s="57" t="s">
        <v>47</v>
      </c>
      <c r="C54" s="88" t="s">
        <v>24</v>
      </c>
      <c r="D54" s="93"/>
      <c r="E54" s="93"/>
      <c r="F54" s="90"/>
      <c r="G54" s="88"/>
      <c r="H54" s="90"/>
      <c r="I54" s="90"/>
      <c r="J54" s="90"/>
      <c r="K54" s="90"/>
      <c r="L54" s="90"/>
      <c r="M54" s="90"/>
      <c r="N54" s="100"/>
      <c r="O54" s="101"/>
      <c r="P54" s="101"/>
      <c r="Q54" s="101"/>
      <c r="R54" s="101"/>
      <c r="S54" s="101"/>
      <c r="T54" s="90"/>
      <c r="U54" s="92"/>
      <c r="V54" s="18"/>
      <c r="W54" s="36"/>
      <c r="X54" s="67"/>
      <c r="Y54" s="67"/>
      <c r="Z54" s="39"/>
      <c r="AA54" s="39"/>
      <c r="AB54" s="76"/>
    </row>
    <row r="55" spans="1:28" s="27" customFormat="1" ht="45" hidden="1" customHeight="1">
      <c r="A55" s="97">
        <v>10</v>
      </c>
      <c r="B55" s="57" t="s">
        <v>48</v>
      </c>
      <c r="C55" s="88" t="s">
        <v>22</v>
      </c>
      <c r="D55" s="89"/>
      <c r="E55" s="89"/>
      <c r="F55" s="90"/>
      <c r="G55" s="89"/>
      <c r="H55" s="90"/>
      <c r="I55" s="90"/>
      <c r="J55" s="90"/>
      <c r="K55" s="90"/>
      <c r="L55" s="90"/>
      <c r="M55" s="90"/>
      <c r="N55" s="89"/>
      <c r="O55" s="90"/>
      <c r="P55" s="90"/>
      <c r="Q55" s="90"/>
      <c r="R55" s="90"/>
      <c r="S55" s="90"/>
      <c r="T55" s="90"/>
      <c r="U55" s="92"/>
      <c r="V55" s="18"/>
      <c r="W55" s="36"/>
      <c r="X55" s="67"/>
      <c r="Y55" s="67"/>
      <c r="Z55" s="39"/>
      <c r="AA55" s="39"/>
      <c r="AB55" s="76"/>
    </row>
    <row r="56" spans="1:28" s="27" customFormat="1" ht="45" customHeight="1">
      <c r="A56" s="87">
        <v>19</v>
      </c>
      <c r="B56" s="57" t="s">
        <v>49</v>
      </c>
      <c r="C56" s="88" t="s">
        <v>22</v>
      </c>
      <c r="D56" s="93">
        <f>0.9-0.032</f>
        <v>0.86799999999999999</v>
      </c>
      <c r="E56" s="89"/>
      <c r="F56" s="90">
        <v>22654.123029999999</v>
      </c>
      <c r="G56" s="89"/>
      <c r="H56" s="90"/>
      <c r="I56" s="90"/>
      <c r="J56" s="90"/>
      <c r="K56" s="90"/>
      <c r="L56" s="90"/>
      <c r="M56" s="93">
        <f>D56</f>
        <v>0.86799999999999999</v>
      </c>
      <c r="N56" s="89"/>
      <c r="O56" s="90">
        <f>F56</f>
        <v>22654.123029999999</v>
      </c>
      <c r="P56" s="90">
        <v>21294.875319999999</v>
      </c>
      <c r="Q56" s="90">
        <f>O56-P56</f>
        <v>1359.2477099999996</v>
      </c>
      <c r="R56" s="90"/>
      <c r="S56" s="90"/>
      <c r="T56" s="90" t="s">
        <v>50</v>
      </c>
      <c r="U56" s="92" t="s">
        <v>39</v>
      </c>
      <c r="V56" s="18"/>
      <c r="W56" s="36"/>
      <c r="X56" s="67"/>
      <c r="Y56" s="67"/>
      <c r="Z56" s="39"/>
      <c r="AA56" s="39"/>
      <c r="AB56" s="76"/>
    </row>
    <row r="57" spans="1:28" s="27" customFormat="1" ht="66" customHeight="1">
      <c r="A57" s="87">
        <v>20</v>
      </c>
      <c r="B57" s="57" t="s">
        <v>51</v>
      </c>
      <c r="C57" s="88" t="s">
        <v>22</v>
      </c>
      <c r="D57" s="93">
        <v>4.7640000000000002</v>
      </c>
      <c r="E57" s="89"/>
      <c r="F57" s="90">
        <v>139832.94664000001</v>
      </c>
      <c r="G57" s="89"/>
      <c r="H57" s="90"/>
      <c r="I57" s="90"/>
      <c r="J57" s="90"/>
      <c r="K57" s="90"/>
      <c r="L57" s="90"/>
      <c r="M57" s="93">
        <f>D57</f>
        <v>4.7640000000000002</v>
      </c>
      <c r="N57" s="89"/>
      <c r="O57" s="90">
        <f>F57</f>
        <v>139832.94664000001</v>
      </c>
      <c r="P57" s="90">
        <v>131442.96781999999</v>
      </c>
      <c r="Q57" s="90">
        <f>O57-P57</f>
        <v>8389.9788200000185</v>
      </c>
      <c r="R57" s="90"/>
      <c r="S57" s="90"/>
      <c r="T57" s="90"/>
      <c r="U57" s="92"/>
      <c r="V57" s="18"/>
      <c r="W57" s="36"/>
      <c r="X57" s="67"/>
      <c r="Y57" s="67"/>
      <c r="Z57" s="39"/>
      <c r="AA57" s="39"/>
      <c r="AB57" s="76"/>
    </row>
    <row r="58" spans="1:28" s="27" customFormat="1" ht="45" customHeight="1">
      <c r="A58" s="87">
        <v>21</v>
      </c>
      <c r="B58" s="57" t="s">
        <v>53</v>
      </c>
      <c r="C58" s="88" t="s">
        <v>24</v>
      </c>
      <c r="D58" s="93">
        <v>1.6</v>
      </c>
      <c r="E58" s="89"/>
      <c r="F58" s="90">
        <f>37589.7775*1.044</f>
        <v>39243.727709999999</v>
      </c>
      <c r="G58" s="89"/>
      <c r="H58" s="90"/>
      <c r="I58" s="90"/>
      <c r="J58" s="90"/>
      <c r="K58" s="90"/>
      <c r="L58" s="90"/>
      <c r="M58" s="93"/>
      <c r="N58" s="89"/>
      <c r="O58" s="90"/>
      <c r="P58" s="90"/>
      <c r="Q58" s="90"/>
      <c r="R58" s="90"/>
      <c r="S58" s="89"/>
      <c r="T58" s="90"/>
      <c r="U58" s="92"/>
      <c r="V58" s="18"/>
      <c r="W58" s="36"/>
      <c r="X58" s="89">
        <f>D58</f>
        <v>1.6</v>
      </c>
      <c r="Y58" s="67"/>
      <c r="Z58" s="92">
        <f>F58</f>
        <v>39243.727709999999</v>
      </c>
      <c r="AA58" s="18">
        <f t="shared" ref="AA58" si="8">Z58*0.819999994727603</f>
        <v>32179.856515291485</v>
      </c>
      <c r="AB58" s="36">
        <f>Z58-AA58</f>
        <v>7063.8711947085139</v>
      </c>
    </row>
    <row r="59" spans="1:28" s="27" customFormat="1" ht="42.75" hidden="1" customHeight="1">
      <c r="A59" s="87"/>
      <c r="B59" s="57" t="s">
        <v>132</v>
      </c>
      <c r="C59" s="88" t="s">
        <v>22</v>
      </c>
      <c r="D59" s="93"/>
      <c r="E59" s="89"/>
      <c r="F59" s="90"/>
      <c r="G59" s="89"/>
      <c r="H59" s="90"/>
      <c r="I59" s="90"/>
      <c r="J59" s="90"/>
      <c r="K59" s="90" t="s">
        <v>39</v>
      </c>
      <c r="L59" s="90"/>
      <c r="M59" s="93"/>
      <c r="N59" s="89"/>
      <c r="O59" s="90"/>
      <c r="P59" s="90"/>
      <c r="Q59" s="90"/>
      <c r="R59" s="90"/>
      <c r="S59" s="89">
        <f>D59</f>
        <v>0</v>
      </c>
      <c r="T59" s="90"/>
      <c r="U59" s="92">
        <f>F59</f>
        <v>0</v>
      </c>
      <c r="V59" s="18">
        <f t="shared" ref="V59" si="9">U59*0.879999983231406</f>
        <v>0</v>
      </c>
      <c r="W59" s="36">
        <f>U59-V59</f>
        <v>0</v>
      </c>
      <c r="X59" s="67"/>
      <c r="Y59" s="67"/>
      <c r="Z59" s="39"/>
      <c r="AA59" s="39"/>
      <c r="AB59" s="76"/>
    </row>
    <row r="60" spans="1:28" s="27" customFormat="1" ht="39" customHeight="1">
      <c r="A60" s="180" t="s">
        <v>54</v>
      </c>
      <c r="B60" s="180"/>
      <c r="C60" s="180"/>
      <c r="D60" s="96">
        <f>SUM(D56:D59)</f>
        <v>7.2320000000000011</v>
      </c>
      <c r="E60" s="90"/>
      <c r="F60" s="148">
        <f>SUM(F56:F59)</f>
        <v>201730.79738</v>
      </c>
      <c r="G60" s="96"/>
      <c r="H60" s="96"/>
      <c r="I60" s="148"/>
      <c r="J60" s="148"/>
      <c r="K60" s="148"/>
      <c r="L60" s="148"/>
      <c r="M60" s="96">
        <f>SUM(M56:M57)</f>
        <v>5.6320000000000006</v>
      </c>
      <c r="N60" s="96"/>
      <c r="O60" s="148">
        <f>SUM(O56:O57)</f>
        <v>162487.06967</v>
      </c>
      <c r="P60" s="148">
        <f>SUM(P56:P57)</f>
        <v>152737.84313999998</v>
      </c>
      <c r="Q60" s="148">
        <f>SUM(Q56:Q57)</f>
        <v>9749.2265300000181</v>
      </c>
      <c r="R60" s="148"/>
      <c r="S60" s="96">
        <f>SUM(S58:S59)</f>
        <v>0</v>
      </c>
      <c r="T60" s="96"/>
      <c r="U60" s="148">
        <f>SUM(U58:U59)</f>
        <v>0</v>
      </c>
      <c r="V60" s="64">
        <f>SUM(V58:V59)</f>
        <v>0</v>
      </c>
      <c r="W60" s="30">
        <f>SUM(W58:W59)</f>
        <v>0</v>
      </c>
      <c r="X60" s="96">
        <f>SUM(X58:X59)</f>
        <v>1.6</v>
      </c>
      <c r="Y60" s="96"/>
      <c r="Z60" s="148">
        <f>SUM(Z58:Z59)</f>
        <v>39243.727709999999</v>
      </c>
      <c r="AA60" s="64">
        <f>SUM(AA58:AA59)</f>
        <v>32179.856515291485</v>
      </c>
      <c r="AB60" s="30">
        <f>SUM(AB58:AB59)</f>
        <v>7063.8711947085139</v>
      </c>
    </row>
    <row r="61" spans="1:28" s="27" customFormat="1" ht="27" customHeight="1">
      <c r="A61" s="172" t="s">
        <v>165</v>
      </c>
      <c r="B61" s="173"/>
      <c r="C61" s="174"/>
      <c r="D61" s="102"/>
      <c r="E61" s="147"/>
      <c r="F61" s="148"/>
      <c r="G61" s="88"/>
      <c r="H61" s="90"/>
      <c r="I61" s="90"/>
      <c r="J61" s="90"/>
      <c r="K61" s="90"/>
      <c r="L61" s="90"/>
      <c r="M61" s="90"/>
      <c r="N61" s="88"/>
      <c r="O61" s="90"/>
      <c r="P61" s="90"/>
      <c r="Q61" s="90"/>
      <c r="R61" s="90"/>
      <c r="S61" s="90"/>
      <c r="T61" s="90"/>
      <c r="U61" s="92"/>
      <c r="V61" s="18"/>
      <c r="W61" s="36"/>
      <c r="X61" s="67"/>
      <c r="Y61" s="67"/>
      <c r="Z61" s="39"/>
      <c r="AA61" s="39"/>
      <c r="AB61" s="76"/>
    </row>
    <row r="62" spans="1:28" s="27" customFormat="1" ht="50.25" customHeight="1">
      <c r="A62" s="87">
        <v>22</v>
      </c>
      <c r="B62" s="94" t="s">
        <v>55</v>
      </c>
      <c r="C62" s="88" t="s">
        <v>56</v>
      </c>
      <c r="D62" s="102">
        <v>3</v>
      </c>
      <c r="E62" s="102"/>
      <c r="F62" s="90">
        <v>77939.765920000005</v>
      </c>
      <c r="G62" s="89"/>
      <c r="H62" s="90"/>
      <c r="I62" s="90"/>
      <c r="J62" s="90"/>
      <c r="K62" s="90"/>
      <c r="L62" s="90"/>
      <c r="M62" s="102">
        <v>3</v>
      </c>
      <c r="N62" s="89"/>
      <c r="O62" s="90">
        <f>F62</f>
        <v>77939.765920000005</v>
      </c>
      <c r="P62" s="90">
        <v>73263.378840000005</v>
      </c>
      <c r="Q62" s="90">
        <f>O62-P62</f>
        <v>4676.3870800000004</v>
      </c>
      <c r="R62" s="90"/>
      <c r="S62" s="90"/>
      <c r="T62" s="90"/>
      <c r="U62" s="92"/>
      <c r="V62" s="18"/>
      <c r="W62" s="36"/>
      <c r="X62" s="67"/>
      <c r="Y62" s="67"/>
      <c r="Z62" s="39"/>
      <c r="AA62" s="39"/>
      <c r="AB62" s="76"/>
    </row>
    <row r="63" spans="1:28" s="27" customFormat="1" ht="48.75" customHeight="1">
      <c r="A63" s="87">
        <v>23</v>
      </c>
      <c r="B63" s="94" t="s">
        <v>57</v>
      </c>
      <c r="C63" s="88" t="s">
        <v>22</v>
      </c>
      <c r="D63" s="102">
        <v>7</v>
      </c>
      <c r="E63" s="102"/>
      <c r="F63" s="90">
        <f>212000-5000</f>
        <v>207000</v>
      </c>
      <c r="G63" s="89"/>
      <c r="H63" s="90"/>
      <c r="I63" s="90"/>
      <c r="J63" s="90"/>
      <c r="K63" s="90"/>
      <c r="L63" s="90"/>
      <c r="M63" s="102"/>
      <c r="N63" s="89"/>
      <c r="O63" s="90"/>
      <c r="P63" s="103"/>
      <c r="Q63" s="90"/>
      <c r="R63" s="90"/>
      <c r="S63" s="89">
        <f>D63</f>
        <v>7</v>
      </c>
      <c r="T63" s="90"/>
      <c r="U63" s="92">
        <f>F63</f>
        <v>207000</v>
      </c>
      <c r="V63" s="18">
        <f t="shared" ref="V63" si="10">U63*0.879999983231406</f>
        <v>182159.99652890104</v>
      </c>
      <c r="W63" s="36">
        <f>U63-V63</f>
        <v>24840.003471098957</v>
      </c>
      <c r="X63" s="67"/>
      <c r="Y63" s="67"/>
      <c r="Z63" s="39"/>
      <c r="AA63" s="39"/>
      <c r="AB63" s="76"/>
    </row>
    <row r="64" spans="1:28" s="27" customFormat="1" ht="30" customHeight="1">
      <c r="A64" s="172" t="s">
        <v>166</v>
      </c>
      <c r="B64" s="173"/>
      <c r="C64" s="174"/>
      <c r="D64" s="96">
        <f>SUM(D62:D63)</f>
        <v>10</v>
      </c>
      <c r="E64" s="90"/>
      <c r="F64" s="148">
        <f>SUM(F62:F63)</f>
        <v>284939.76592000003</v>
      </c>
      <c r="G64" s="96"/>
      <c r="H64" s="96"/>
      <c r="I64" s="148"/>
      <c r="J64" s="148"/>
      <c r="K64" s="148"/>
      <c r="L64" s="148"/>
      <c r="M64" s="96">
        <f>SUM(M62:M62)</f>
        <v>3</v>
      </c>
      <c r="N64" s="96"/>
      <c r="O64" s="148">
        <f>SUM(O62:O62)</f>
        <v>77939.765920000005</v>
      </c>
      <c r="P64" s="148">
        <f>SUM(P62:P62)</f>
        <v>73263.378840000005</v>
      </c>
      <c r="Q64" s="148">
        <f>SUM(Q62:Q62)</f>
        <v>4676.3870800000004</v>
      </c>
      <c r="R64" s="148"/>
      <c r="S64" s="148">
        <f>SUM(S63)</f>
        <v>7</v>
      </c>
      <c r="T64" s="148"/>
      <c r="U64" s="91">
        <f>SUM(U63)</f>
        <v>207000</v>
      </c>
      <c r="V64" s="64">
        <f>SUM(V63)</f>
        <v>182159.99652890104</v>
      </c>
      <c r="W64" s="30">
        <f>SUM(W63)</f>
        <v>24840.003471098957</v>
      </c>
      <c r="X64" s="69"/>
      <c r="Y64" s="67"/>
      <c r="Z64" s="39"/>
      <c r="AA64" s="39"/>
      <c r="AB64" s="76"/>
    </row>
    <row r="65" spans="1:28" s="27" customFormat="1" ht="30.75" customHeight="1">
      <c r="A65" s="172" t="s">
        <v>167</v>
      </c>
      <c r="B65" s="173"/>
      <c r="C65" s="174"/>
      <c r="D65" s="100"/>
      <c r="E65" s="147"/>
      <c r="F65" s="148"/>
      <c r="G65" s="88"/>
      <c r="H65" s="90"/>
      <c r="I65" s="90"/>
      <c r="J65" s="90"/>
      <c r="K65" s="90"/>
      <c r="L65" s="90"/>
      <c r="M65" s="90"/>
      <c r="N65" s="88"/>
      <c r="O65" s="90"/>
      <c r="P65" s="90"/>
      <c r="Q65" s="90"/>
      <c r="R65" s="90"/>
      <c r="S65" s="90"/>
      <c r="T65" s="90"/>
      <c r="U65" s="92"/>
      <c r="V65" s="18"/>
      <c r="W65" s="36"/>
      <c r="X65" s="67"/>
      <c r="Y65" s="67"/>
      <c r="Z65" s="39"/>
      <c r="AA65" s="39"/>
      <c r="AB65" s="76"/>
    </row>
    <row r="66" spans="1:28" s="27" customFormat="1" ht="49.5" hidden="1" customHeight="1">
      <c r="A66" s="97">
        <v>19</v>
      </c>
      <c r="B66" s="94" t="s">
        <v>58</v>
      </c>
      <c r="C66" s="88" t="s">
        <v>22</v>
      </c>
      <c r="D66" s="100"/>
      <c r="E66" s="100"/>
      <c r="F66" s="90"/>
      <c r="G66" s="100"/>
      <c r="H66" s="90"/>
      <c r="I66" s="90"/>
      <c r="J66" s="90"/>
      <c r="K66" s="90"/>
      <c r="L66" s="90"/>
      <c r="M66" s="90"/>
      <c r="N66" s="89"/>
      <c r="O66" s="90"/>
      <c r="P66" s="90"/>
      <c r="Q66" s="90"/>
      <c r="R66" s="90"/>
      <c r="S66" s="90"/>
      <c r="T66" s="90"/>
      <c r="U66" s="92"/>
      <c r="V66" s="18"/>
      <c r="W66" s="36"/>
      <c r="X66" s="67"/>
      <c r="Y66" s="67"/>
      <c r="Z66" s="39"/>
      <c r="AA66" s="39"/>
      <c r="AB66" s="76"/>
    </row>
    <row r="67" spans="1:28" s="27" customFormat="1" ht="32.25" hidden="1" customHeight="1">
      <c r="A67" s="87">
        <v>20</v>
      </c>
      <c r="B67" s="94" t="s">
        <v>59</v>
      </c>
      <c r="C67" s="88" t="s">
        <v>22</v>
      </c>
      <c r="D67" s="100">
        <v>3.6</v>
      </c>
      <c r="E67" s="100"/>
      <c r="F67" s="90">
        <v>89465.626940000002</v>
      </c>
      <c r="G67" s="89">
        <f>D67</f>
        <v>3.6</v>
      </c>
      <c r="H67" s="101"/>
      <c r="I67" s="101">
        <f>F67</f>
        <v>89465.626940000002</v>
      </c>
      <c r="J67" s="101"/>
      <c r="K67" s="101">
        <f>I67</f>
        <v>89465.626940000002</v>
      </c>
      <c r="L67" s="101"/>
      <c r="M67" s="90"/>
      <c r="N67" s="89"/>
      <c r="O67" s="101"/>
      <c r="P67" s="101"/>
      <c r="Q67" s="101"/>
      <c r="R67" s="101"/>
      <c r="S67" s="101"/>
      <c r="T67" s="90"/>
      <c r="U67" s="92"/>
      <c r="V67" s="18"/>
      <c r="W67" s="36"/>
      <c r="X67" s="67"/>
      <c r="Y67" s="67"/>
      <c r="Z67" s="39"/>
      <c r="AA67" s="39"/>
      <c r="AB67" s="76"/>
    </row>
    <row r="68" spans="1:28" s="27" customFormat="1" ht="43.5" hidden="1" customHeight="1">
      <c r="A68" s="87"/>
      <c r="B68" s="94" t="s">
        <v>60</v>
      </c>
      <c r="C68" s="88" t="s">
        <v>22</v>
      </c>
      <c r="D68" s="100"/>
      <c r="E68" s="100"/>
      <c r="F68" s="90"/>
      <c r="G68" s="100"/>
      <c r="H68" s="90"/>
      <c r="I68" s="90"/>
      <c r="J68" s="90"/>
      <c r="K68" s="90"/>
      <c r="L68" s="90"/>
      <c r="M68" s="90"/>
      <c r="N68" s="89"/>
      <c r="O68" s="101"/>
      <c r="P68" s="101"/>
      <c r="Q68" s="101"/>
      <c r="R68" s="101"/>
      <c r="S68" s="101"/>
      <c r="T68" s="90"/>
      <c r="U68" s="92"/>
      <c r="V68" s="18"/>
      <c r="W68" s="36"/>
      <c r="X68" s="67"/>
      <c r="Y68" s="67"/>
      <c r="Z68" s="39"/>
      <c r="AA68" s="39"/>
      <c r="AB68" s="76"/>
    </row>
    <row r="69" spans="1:28" s="27" customFormat="1" ht="63" hidden="1" customHeight="1">
      <c r="A69" s="87"/>
      <c r="B69" s="94" t="s">
        <v>61</v>
      </c>
      <c r="C69" s="88" t="s">
        <v>22</v>
      </c>
      <c r="D69" s="100"/>
      <c r="E69" s="100"/>
      <c r="F69" s="90"/>
      <c r="G69" s="100"/>
      <c r="H69" s="90"/>
      <c r="I69" s="90"/>
      <c r="J69" s="90"/>
      <c r="K69" s="90"/>
      <c r="L69" s="90"/>
      <c r="M69" s="90"/>
      <c r="N69" s="89"/>
      <c r="O69" s="90"/>
      <c r="P69" s="90"/>
      <c r="Q69" s="90"/>
      <c r="R69" s="90"/>
      <c r="S69" s="90"/>
      <c r="T69" s="90"/>
      <c r="U69" s="92"/>
      <c r="V69" s="18"/>
      <c r="W69" s="36"/>
      <c r="X69" s="67"/>
      <c r="Y69" s="67"/>
      <c r="Z69" s="39"/>
      <c r="AA69" s="39"/>
      <c r="AB69" s="76"/>
    </row>
    <row r="70" spans="1:28" s="27" customFormat="1" ht="63" hidden="1" customHeight="1">
      <c r="A70" s="87">
        <v>23</v>
      </c>
      <c r="B70" s="94" t="s">
        <v>62</v>
      </c>
      <c r="C70" s="88" t="s">
        <v>22</v>
      </c>
      <c r="D70" s="100"/>
      <c r="E70" s="100"/>
      <c r="F70" s="90"/>
      <c r="G70" s="100"/>
      <c r="H70" s="90"/>
      <c r="I70" s="90"/>
      <c r="J70" s="90"/>
      <c r="K70" s="90"/>
      <c r="L70" s="90"/>
      <c r="M70" s="90"/>
      <c r="N70" s="89"/>
      <c r="O70" s="90"/>
      <c r="P70" s="90"/>
      <c r="Q70" s="90"/>
      <c r="R70" s="90"/>
      <c r="S70" s="90"/>
      <c r="T70" s="90"/>
      <c r="U70" s="92"/>
      <c r="V70" s="18"/>
      <c r="W70" s="36"/>
      <c r="X70" s="67"/>
      <c r="Y70" s="67"/>
      <c r="Z70" s="39"/>
      <c r="AA70" s="39"/>
      <c r="AB70" s="76"/>
    </row>
    <row r="71" spans="1:28" s="27" customFormat="1" ht="66.75" customHeight="1">
      <c r="A71" s="87">
        <v>24</v>
      </c>
      <c r="B71" s="94" t="s">
        <v>63</v>
      </c>
      <c r="C71" s="88" t="s">
        <v>22</v>
      </c>
      <c r="D71" s="100">
        <f>14-6.85</f>
        <v>7.15</v>
      </c>
      <c r="E71" s="100"/>
      <c r="F71" s="90">
        <v>211713.8075</v>
      </c>
      <c r="G71" s="100"/>
      <c r="H71" s="90"/>
      <c r="I71" s="90"/>
      <c r="J71" s="90"/>
      <c r="K71" s="90"/>
      <c r="L71" s="90"/>
      <c r="M71" s="89">
        <f>D71</f>
        <v>7.15</v>
      </c>
      <c r="N71" s="89"/>
      <c r="O71" s="90">
        <f>F71</f>
        <v>211713.8075</v>
      </c>
      <c r="P71" s="90">
        <v>199010.97599000001</v>
      </c>
      <c r="Q71" s="90">
        <f>O71-P71</f>
        <v>12702.831509999989</v>
      </c>
      <c r="R71" s="90"/>
      <c r="S71" s="90"/>
      <c r="T71" s="90"/>
      <c r="U71" s="92"/>
      <c r="V71" s="18"/>
      <c r="W71" s="36"/>
      <c r="X71" s="67"/>
      <c r="Y71" s="67"/>
      <c r="Z71" s="39"/>
      <c r="AA71" s="39"/>
      <c r="AB71" s="76"/>
    </row>
    <row r="72" spans="1:28" s="27" customFormat="1" ht="63.75" customHeight="1">
      <c r="A72" s="87">
        <v>25</v>
      </c>
      <c r="B72" s="94" t="s">
        <v>64</v>
      </c>
      <c r="C72" s="88" t="s">
        <v>22</v>
      </c>
      <c r="D72" s="100">
        <v>6.85</v>
      </c>
      <c r="E72" s="100"/>
      <c r="F72" s="90">
        <v>199456.93004000001</v>
      </c>
      <c r="G72" s="100"/>
      <c r="H72" s="90"/>
      <c r="I72" s="90"/>
      <c r="J72" s="90"/>
      <c r="K72" s="90"/>
      <c r="L72" s="90"/>
      <c r="M72" s="89">
        <f>D72</f>
        <v>6.85</v>
      </c>
      <c r="N72" s="89"/>
      <c r="O72" s="90">
        <f>F72</f>
        <v>199456.93004000001</v>
      </c>
      <c r="P72" s="90">
        <v>187489.51134999999</v>
      </c>
      <c r="Q72" s="90">
        <f>O72-P72</f>
        <v>11967.41869000002</v>
      </c>
      <c r="R72" s="90"/>
      <c r="S72" s="89"/>
      <c r="T72" s="90"/>
      <c r="U72" s="92"/>
      <c r="V72" s="18"/>
      <c r="W72" s="36"/>
      <c r="X72" s="67"/>
      <c r="Y72" s="67"/>
      <c r="Z72" s="39"/>
      <c r="AA72" s="39"/>
      <c r="AB72" s="76"/>
    </row>
    <row r="73" spans="1:28" s="27" customFormat="1" ht="32.25" customHeight="1">
      <c r="A73" s="87">
        <v>26</v>
      </c>
      <c r="B73" s="94" t="s">
        <v>65</v>
      </c>
      <c r="C73" s="88" t="s">
        <v>33</v>
      </c>
      <c r="D73" s="100">
        <v>5</v>
      </c>
      <c r="E73" s="100"/>
      <c r="F73" s="90">
        <v>285934.38983</v>
      </c>
      <c r="G73" s="100"/>
      <c r="H73" s="90"/>
      <c r="I73" s="90"/>
      <c r="J73" s="90"/>
      <c r="K73" s="90"/>
      <c r="L73" s="90"/>
      <c r="M73" s="89"/>
      <c r="N73" s="89"/>
      <c r="O73" s="90"/>
      <c r="P73" s="90"/>
      <c r="Q73" s="90"/>
      <c r="R73" s="90"/>
      <c r="S73" s="89">
        <f>D73</f>
        <v>5</v>
      </c>
      <c r="T73" s="90"/>
      <c r="U73" s="92">
        <f>F73</f>
        <v>285934.38983</v>
      </c>
      <c r="V73" s="18">
        <f t="shared" ref="V73" si="11">U73*0.879999983231406</f>
        <v>251622.25825568233</v>
      </c>
      <c r="W73" s="36">
        <f>U73-V73</f>
        <v>34312.131574317667</v>
      </c>
      <c r="X73" s="67"/>
      <c r="Y73" s="67"/>
      <c r="Z73" s="39"/>
      <c r="AA73" s="39"/>
      <c r="AB73" s="76"/>
    </row>
    <row r="74" spans="1:28" s="27" customFormat="1" ht="44.25" customHeight="1">
      <c r="A74" s="181" t="s">
        <v>168</v>
      </c>
      <c r="B74" s="182"/>
      <c r="C74" s="183"/>
      <c r="D74" s="96">
        <f>D71+D72+D73</f>
        <v>19</v>
      </c>
      <c r="E74" s="90"/>
      <c r="F74" s="148">
        <f>F71+F72+F73</f>
        <v>697105.12737</v>
      </c>
      <c r="G74" s="96">
        <f>SUM(G66:G68)</f>
        <v>3.6</v>
      </c>
      <c r="H74" s="148"/>
      <c r="I74" s="148">
        <f>SUM(I66:I68)</f>
        <v>89465.626940000002</v>
      </c>
      <c r="J74" s="148"/>
      <c r="K74" s="148">
        <f>SUM(K66:K68)</f>
        <v>89465.626940000002</v>
      </c>
      <c r="L74" s="148"/>
      <c r="M74" s="96">
        <f>SUM(M71:M73)</f>
        <v>14</v>
      </c>
      <c r="N74" s="96"/>
      <c r="O74" s="148">
        <f>SUM(O71:O73)</f>
        <v>411170.73754</v>
      </c>
      <c r="P74" s="148">
        <f>SUM(P71:P73)</f>
        <v>386500.48733999999</v>
      </c>
      <c r="Q74" s="148">
        <f>SUM(Q71:Q72)</f>
        <v>24670.250200000009</v>
      </c>
      <c r="R74" s="148"/>
      <c r="S74" s="148">
        <f>SUM(S72:S73)</f>
        <v>5</v>
      </c>
      <c r="T74" s="148"/>
      <c r="U74" s="91">
        <f>SUM(U72:U73)</f>
        <v>285934.38983</v>
      </c>
      <c r="V74" s="64">
        <f>SUM(V72:V73)</f>
        <v>251622.25825568233</v>
      </c>
      <c r="W74" s="30">
        <f>SUM(W72:W73)</f>
        <v>34312.131574317667</v>
      </c>
      <c r="X74" s="69"/>
      <c r="Y74" s="67"/>
      <c r="Z74" s="39"/>
      <c r="AA74" s="39"/>
      <c r="AB74" s="76"/>
    </row>
    <row r="75" spans="1:28" s="27" customFormat="1" ht="29.25" hidden="1" customHeight="1">
      <c r="A75" s="184" t="s">
        <v>66</v>
      </c>
      <c r="B75" s="184"/>
      <c r="C75" s="185"/>
      <c r="D75" s="185"/>
      <c r="E75" s="147"/>
      <c r="F75" s="148"/>
      <c r="G75" s="88"/>
      <c r="H75" s="90"/>
      <c r="I75" s="90"/>
      <c r="J75" s="90"/>
      <c r="K75" s="90"/>
      <c r="L75" s="90"/>
      <c r="M75" s="90"/>
      <c r="N75" s="88"/>
      <c r="O75" s="90"/>
      <c r="P75" s="90"/>
      <c r="Q75" s="90"/>
      <c r="R75" s="90"/>
      <c r="S75" s="90"/>
      <c r="T75" s="90"/>
      <c r="U75" s="92"/>
      <c r="V75" s="18"/>
      <c r="W75" s="36"/>
      <c r="X75" s="67"/>
      <c r="Y75" s="67"/>
      <c r="Z75" s="39"/>
      <c r="AA75" s="39"/>
      <c r="AB75" s="76"/>
    </row>
    <row r="76" spans="1:28" s="27" customFormat="1" ht="48" hidden="1" customHeight="1">
      <c r="A76" s="97"/>
      <c r="B76" s="94" t="s">
        <v>67</v>
      </c>
      <c r="C76" s="88" t="s">
        <v>22</v>
      </c>
      <c r="D76" s="100"/>
      <c r="E76" s="100"/>
      <c r="F76" s="90"/>
      <c r="G76" s="89"/>
      <c r="H76" s="90"/>
      <c r="I76" s="90"/>
      <c r="J76" s="90"/>
      <c r="K76" s="90"/>
      <c r="L76" s="90"/>
      <c r="M76" s="90"/>
      <c r="N76" s="89"/>
      <c r="O76" s="101"/>
      <c r="P76" s="101"/>
      <c r="Q76" s="101"/>
      <c r="R76" s="101"/>
      <c r="S76" s="101"/>
      <c r="T76" s="90"/>
      <c r="U76" s="92"/>
      <c r="V76" s="18"/>
      <c r="W76" s="36"/>
      <c r="X76" s="67"/>
      <c r="Y76" s="67"/>
      <c r="Z76" s="39"/>
      <c r="AA76" s="39"/>
      <c r="AB76" s="76"/>
    </row>
    <row r="77" spans="1:28" s="27" customFormat="1" ht="55.5" hidden="1" customHeight="1">
      <c r="A77" s="104"/>
      <c r="B77" s="94"/>
      <c r="C77" s="88"/>
      <c r="D77" s="100"/>
      <c r="E77" s="102"/>
      <c r="F77" s="90"/>
      <c r="G77" s="100"/>
      <c r="H77" s="90"/>
      <c r="I77" s="90"/>
      <c r="J77" s="90"/>
      <c r="K77" s="90"/>
      <c r="L77" s="90"/>
      <c r="M77" s="102"/>
      <c r="N77" s="89"/>
      <c r="O77" s="90"/>
      <c r="P77" s="90"/>
      <c r="Q77" s="90"/>
      <c r="R77" s="90"/>
      <c r="S77" s="90"/>
      <c r="T77" s="90"/>
      <c r="U77" s="92"/>
      <c r="V77" s="18"/>
      <c r="W77" s="36"/>
      <c r="X77" s="67"/>
      <c r="Y77" s="67"/>
      <c r="Z77" s="39"/>
      <c r="AA77" s="39"/>
      <c r="AB77" s="76"/>
    </row>
    <row r="78" spans="1:28" s="27" customFormat="1" ht="5.25" hidden="1" customHeight="1">
      <c r="A78" s="186" t="s">
        <v>68</v>
      </c>
      <c r="B78" s="186"/>
      <c r="C78" s="186"/>
      <c r="D78" s="96">
        <f>SUM(D77:D77)</f>
        <v>0</v>
      </c>
      <c r="E78" s="96"/>
      <c r="F78" s="148">
        <f>SUM(F77:F77)</f>
        <v>0</v>
      </c>
      <c r="G78" s="96">
        <f>SUM(G76:G76)</f>
        <v>0</v>
      </c>
      <c r="H78" s="96"/>
      <c r="I78" s="148">
        <f>SUM(I76:I76)</f>
        <v>0</v>
      </c>
      <c r="J78" s="148">
        <f>SUM(J76:J76)</f>
        <v>0</v>
      </c>
      <c r="K78" s="148">
        <f>SUM(K76:K76)</f>
        <v>0</v>
      </c>
      <c r="L78" s="148"/>
      <c r="M78" s="96"/>
      <c r="N78" s="96"/>
      <c r="O78" s="148"/>
      <c r="P78" s="148"/>
      <c r="Q78" s="148"/>
      <c r="R78" s="148"/>
      <c r="S78" s="148"/>
      <c r="T78" s="148"/>
      <c r="U78" s="91"/>
      <c r="V78" s="64"/>
      <c r="W78" s="30"/>
      <c r="X78" s="67"/>
      <c r="Y78" s="67"/>
      <c r="Z78" s="39"/>
      <c r="AA78" s="39"/>
      <c r="AB78" s="76"/>
    </row>
    <row r="79" spans="1:28" s="27" customFormat="1" ht="27.75" customHeight="1">
      <c r="A79" s="172" t="s">
        <v>69</v>
      </c>
      <c r="B79" s="173"/>
      <c r="C79" s="174"/>
      <c r="D79" s="100"/>
      <c r="E79" s="147"/>
      <c r="F79" s="148"/>
      <c r="G79" s="88"/>
      <c r="H79" s="90"/>
      <c r="I79" s="90"/>
      <c r="J79" s="90"/>
      <c r="K79" s="90"/>
      <c r="L79" s="90"/>
      <c r="M79" s="90"/>
      <c r="N79" s="88"/>
      <c r="O79" s="90"/>
      <c r="P79" s="90"/>
      <c r="Q79" s="90"/>
      <c r="R79" s="90"/>
      <c r="S79" s="90"/>
      <c r="T79" s="90"/>
      <c r="U79" s="92"/>
      <c r="V79" s="18"/>
      <c r="W79" s="36"/>
      <c r="X79" s="67"/>
      <c r="Y79" s="67"/>
      <c r="Z79" s="39"/>
      <c r="AA79" s="39"/>
      <c r="AB79" s="76"/>
    </row>
    <row r="80" spans="1:28" s="27" customFormat="1" ht="34.5" customHeight="1">
      <c r="A80" s="87">
        <v>27</v>
      </c>
      <c r="B80" s="94" t="s">
        <v>70</v>
      </c>
      <c r="C80" s="88" t="s">
        <v>37</v>
      </c>
      <c r="D80" s="100">
        <v>3.9</v>
      </c>
      <c r="E80" s="90"/>
      <c r="F80" s="90">
        <v>113123.16094</v>
      </c>
      <c r="G80" s="88"/>
      <c r="H80" s="90"/>
      <c r="I80" s="90"/>
      <c r="J80" s="90"/>
      <c r="K80" s="90"/>
      <c r="L80" s="90"/>
      <c r="M80" s="90">
        <f>D80</f>
        <v>3.9</v>
      </c>
      <c r="N80" s="88"/>
      <c r="O80" s="90">
        <f>F80</f>
        <v>113123.16094</v>
      </c>
      <c r="P80" s="90">
        <v>106335.76965</v>
      </c>
      <c r="Q80" s="90">
        <f>O80-P80</f>
        <v>6787.3912899999996</v>
      </c>
      <c r="R80" s="90"/>
      <c r="S80" s="90"/>
      <c r="T80" s="90"/>
      <c r="U80" s="92"/>
      <c r="V80" s="18"/>
      <c r="W80" s="36"/>
      <c r="X80" s="67"/>
      <c r="Y80" s="67"/>
      <c r="Z80" s="39"/>
      <c r="AA80" s="39"/>
      <c r="AB80" s="76"/>
    </row>
    <row r="81" spans="1:29" s="27" customFormat="1" ht="43.5" customHeight="1">
      <c r="A81" s="87">
        <v>28</v>
      </c>
      <c r="B81" s="94" t="s">
        <v>71</v>
      </c>
      <c r="C81" s="88" t="s">
        <v>33</v>
      </c>
      <c r="D81" s="100">
        <v>6</v>
      </c>
      <c r="E81" s="90"/>
      <c r="F81" s="90">
        <f>277200.30455-60984.06716</f>
        <v>216216.23738999999</v>
      </c>
      <c r="G81" s="88"/>
      <c r="H81" s="90"/>
      <c r="I81" s="90"/>
      <c r="J81" s="90"/>
      <c r="K81" s="90" t="s">
        <v>36</v>
      </c>
      <c r="L81" s="90"/>
      <c r="M81" s="89"/>
      <c r="N81" s="88"/>
      <c r="O81" s="90"/>
      <c r="P81" s="90"/>
      <c r="Q81" s="90"/>
      <c r="R81" s="90"/>
      <c r="S81" s="89">
        <f>D81</f>
        <v>6</v>
      </c>
      <c r="T81" s="90"/>
      <c r="U81" s="92">
        <f>F81</f>
        <v>216216.23738999999</v>
      </c>
      <c r="V81" s="18">
        <f t="shared" ref="V81" si="12">U81*0.879999983231406</f>
        <v>190270.2852775577</v>
      </c>
      <c r="W81" s="36">
        <f>U81-V81</f>
        <v>25945.95211244229</v>
      </c>
      <c r="X81" s="67"/>
      <c r="Y81" s="67"/>
      <c r="Z81" s="39"/>
      <c r="AA81" s="39"/>
      <c r="AB81" s="76"/>
    </row>
    <row r="82" spans="1:29" s="27" customFormat="1" ht="24.75" customHeight="1">
      <c r="A82" s="104"/>
      <c r="B82" s="57" t="s">
        <v>43</v>
      </c>
      <c r="C82" s="88"/>
      <c r="D82" s="95">
        <f>M82</f>
        <v>1.825</v>
      </c>
      <c r="E82" s="95"/>
      <c r="F82" s="90">
        <f>O82</f>
        <v>88461</v>
      </c>
      <c r="G82" s="90">
        <v>4.5209999999999999</v>
      </c>
      <c r="H82" s="90"/>
      <c r="I82" s="90">
        <v>186480</v>
      </c>
      <c r="J82" s="90"/>
      <c r="K82" s="90">
        <f>I82</f>
        <v>186480</v>
      </c>
      <c r="L82" s="90"/>
      <c r="M82" s="90">
        <v>1.825</v>
      </c>
      <c r="N82" s="88"/>
      <c r="O82" s="90">
        <v>88461</v>
      </c>
      <c r="P82" s="90"/>
      <c r="Q82" s="90">
        <f>O82</f>
        <v>88461</v>
      </c>
      <c r="R82" s="90"/>
      <c r="S82" s="90"/>
      <c r="T82" s="90"/>
      <c r="U82" s="92"/>
      <c r="V82" s="18"/>
      <c r="W82" s="36"/>
      <c r="X82" s="67"/>
      <c r="Y82" s="67"/>
      <c r="Z82" s="39"/>
      <c r="AA82" s="39"/>
      <c r="AB82" s="76"/>
    </row>
    <row r="83" spans="1:29" s="27" customFormat="1" ht="33" customHeight="1">
      <c r="A83" s="181" t="s">
        <v>72</v>
      </c>
      <c r="B83" s="182"/>
      <c r="C83" s="183"/>
      <c r="D83" s="96">
        <f>SUM(D80:D82)</f>
        <v>11.725</v>
      </c>
      <c r="E83" s="96"/>
      <c r="F83" s="148">
        <f>SUM(F80:F82)</f>
        <v>417800.39833</v>
      </c>
      <c r="G83" s="96">
        <f>SUM(G82:G82)</f>
        <v>4.5209999999999999</v>
      </c>
      <c r="H83" s="148"/>
      <c r="I83" s="148">
        <f>SUM(I82:I82)</f>
        <v>186480</v>
      </c>
      <c r="J83" s="148"/>
      <c r="K83" s="148">
        <f>SUM(K82:K82)</f>
        <v>186480</v>
      </c>
      <c r="L83" s="148"/>
      <c r="M83" s="96">
        <f>SUM(M80:M82)</f>
        <v>5.7249999999999996</v>
      </c>
      <c r="N83" s="148"/>
      <c r="O83" s="148">
        <f>SUM(O80:O82)</f>
        <v>201584.16094</v>
      </c>
      <c r="P83" s="148">
        <f>SUM(P80:P82)</f>
        <v>106335.76965</v>
      </c>
      <c r="Q83" s="148">
        <f>SUM(Q80:Q82)</f>
        <v>95248.39129</v>
      </c>
      <c r="R83" s="148"/>
      <c r="S83" s="96">
        <f>SUM(S80:S82)</f>
        <v>6</v>
      </c>
      <c r="T83" s="96"/>
      <c r="U83" s="148">
        <f>SUM(U80:U82)</f>
        <v>216216.23738999999</v>
      </c>
      <c r="V83" s="64">
        <f>SUM(V80:V82)</f>
        <v>190270.2852775577</v>
      </c>
      <c r="W83" s="30">
        <f>SUM(W80:W82)</f>
        <v>25945.95211244229</v>
      </c>
      <c r="X83" s="69"/>
      <c r="Y83" s="67"/>
      <c r="Z83" s="39"/>
      <c r="AA83" s="39"/>
      <c r="AB83" s="76"/>
    </row>
    <row r="84" spans="1:29" s="27" customFormat="1" ht="30" customHeight="1">
      <c r="A84" s="172" t="s">
        <v>169</v>
      </c>
      <c r="B84" s="173"/>
      <c r="C84" s="174"/>
      <c r="D84" s="100"/>
      <c r="E84" s="147"/>
      <c r="F84" s="148"/>
      <c r="G84" s="88"/>
      <c r="H84" s="90"/>
      <c r="I84" s="90"/>
      <c r="J84" s="90"/>
      <c r="K84" s="90"/>
      <c r="L84" s="90"/>
      <c r="M84" s="90"/>
      <c r="N84" s="88"/>
      <c r="O84" s="90"/>
      <c r="P84" s="90"/>
      <c r="Q84" s="90"/>
      <c r="R84" s="90"/>
      <c r="S84" s="90"/>
      <c r="T84" s="90"/>
      <c r="U84" s="92"/>
      <c r="V84" s="18"/>
      <c r="W84" s="36"/>
      <c r="X84" s="67"/>
      <c r="Y84" s="67"/>
      <c r="Z84" s="39"/>
      <c r="AA84" s="39"/>
      <c r="AB84" s="76"/>
    </row>
    <row r="85" spans="1:29" s="27" customFormat="1" ht="43.5" hidden="1" customHeight="1">
      <c r="A85" s="87">
        <v>26</v>
      </c>
      <c r="B85" s="94" t="s">
        <v>73</v>
      </c>
      <c r="C85" s="88" t="s">
        <v>22</v>
      </c>
      <c r="D85" s="100">
        <v>2.2999999999999998</v>
      </c>
      <c r="E85" s="100"/>
      <c r="F85" s="90">
        <v>58857.782299999999</v>
      </c>
      <c r="G85" s="89">
        <f>D85</f>
        <v>2.2999999999999998</v>
      </c>
      <c r="H85" s="90"/>
      <c r="I85" s="90">
        <f>F85</f>
        <v>58857.782299999999</v>
      </c>
      <c r="J85" s="90"/>
      <c r="K85" s="90">
        <f>I85</f>
        <v>58857.782299999999</v>
      </c>
      <c r="L85" s="90"/>
      <c r="M85" s="100"/>
      <c r="N85" s="89"/>
      <c r="O85" s="90"/>
      <c r="P85" s="90"/>
      <c r="Q85" s="90"/>
      <c r="R85" s="90"/>
      <c r="S85" s="90"/>
      <c r="T85" s="90"/>
      <c r="U85" s="92"/>
      <c r="V85" s="18"/>
      <c r="W85" s="36"/>
      <c r="X85" s="67"/>
      <c r="Y85" s="67"/>
      <c r="Z85" s="39"/>
      <c r="AA85" s="39"/>
      <c r="AB85" s="76"/>
    </row>
    <row r="86" spans="1:29" s="27" customFormat="1" ht="68.25" customHeight="1">
      <c r="A86" s="87">
        <v>29</v>
      </c>
      <c r="B86" s="94" t="s">
        <v>148</v>
      </c>
      <c r="C86" s="88" t="s">
        <v>22</v>
      </c>
      <c r="D86" s="100">
        <f>3.07+4.3</f>
        <v>7.3699999999999992</v>
      </c>
      <c r="E86" s="100"/>
      <c r="F86" s="90">
        <f>O86+U86</f>
        <v>189182.91736999998</v>
      </c>
      <c r="G86" s="89"/>
      <c r="H86" s="90"/>
      <c r="I86" s="90"/>
      <c r="J86" s="90"/>
      <c r="K86" s="90"/>
      <c r="L86" s="90"/>
      <c r="M86" s="89">
        <v>3.07</v>
      </c>
      <c r="N86" s="89"/>
      <c r="O86" s="90">
        <v>77174.5</v>
      </c>
      <c r="P86" s="90">
        <v>72544.028879999998</v>
      </c>
      <c r="Q86" s="90">
        <f>O86-P86</f>
        <v>4630.471120000002</v>
      </c>
      <c r="R86" s="90"/>
      <c r="S86" s="89">
        <v>4.3</v>
      </c>
      <c r="T86" s="90"/>
      <c r="U86" s="92">
        <v>112008.41737</v>
      </c>
      <c r="V86" s="18">
        <f t="shared" ref="V86" si="13">U86*0.879999983231406</f>
        <v>98567.405407376325</v>
      </c>
      <c r="W86" s="36">
        <f>U86-V86</f>
        <v>13441.01196262367</v>
      </c>
      <c r="X86" s="67"/>
      <c r="Y86" s="67"/>
      <c r="Z86" s="39"/>
      <c r="AA86" s="39"/>
      <c r="AB86" s="76"/>
    </row>
    <row r="87" spans="1:29" s="27" customFormat="1" ht="48" customHeight="1">
      <c r="A87" s="87">
        <v>30</v>
      </c>
      <c r="B87" s="142" t="s">
        <v>156</v>
      </c>
      <c r="C87" s="16" t="s">
        <v>22</v>
      </c>
      <c r="D87" s="22">
        <v>1</v>
      </c>
      <c r="E87" s="22"/>
      <c r="F87" s="18">
        <v>43471.569309999999</v>
      </c>
      <c r="G87" s="89"/>
      <c r="H87" s="90"/>
      <c r="I87" s="90"/>
      <c r="J87" s="90"/>
      <c r="K87" s="90"/>
      <c r="L87" s="90"/>
      <c r="M87" s="89"/>
      <c r="N87" s="89"/>
      <c r="O87" s="90"/>
      <c r="P87" s="105"/>
      <c r="Q87" s="90"/>
      <c r="R87" s="90"/>
      <c r="S87" s="89">
        <f>D87</f>
        <v>1</v>
      </c>
      <c r="T87" s="90"/>
      <c r="U87" s="92">
        <f>F87</f>
        <v>43471.569309999999</v>
      </c>
      <c r="V87" s="18">
        <f>U87*0.88</f>
        <v>38254.980992799996</v>
      </c>
      <c r="W87" s="36">
        <f>U87-V87</f>
        <v>5216.5883172000031</v>
      </c>
      <c r="X87" s="67"/>
      <c r="Y87" s="67"/>
      <c r="Z87" s="39"/>
      <c r="AA87" s="39"/>
      <c r="AB87" s="76"/>
    </row>
    <row r="88" spans="1:29" s="27" customFormat="1" ht="33.75" customHeight="1">
      <c r="A88" s="181" t="s">
        <v>170</v>
      </c>
      <c r="B88" s="182"/>
      <c r="C88" s="183"/>
      <c r="D88" s="96">
        <f>SUM(D86:D87)</f>
        <v>8.3699999999999992</v>
      </c>
      <c r="E88" s="96"/>
      <c r="F88" s="148">
        <f>SUM(F86:F87)</f>
        <v>232654.48667999997</v>
      </c>
      <c r="G88" s="96">
        <f>SUM(G85:G86)</f>
        <v>2.2999999999999998</v>
      </c>
      <c r="H88" s="96"/>
      <c r="I88" s="148">
        <f>SUM(I85:I86)</f>
        <v>58857.782299999999</v>
      </c>
      <c r="J88" s="148"/>
      <c r="K88" s="148">
        <f>SUM(K85:K86)</f>
        <v>58857.782299999999</v>
      </c>
      <c r="L88" s="148"/>
      <c r="M88" s="96">
        <f>SUM(M85:M86)</f>
        <v>3.07</v>
      </c>
      <c r="N88" s="96"/>
      <c r="O88" s="148">
        <f>SUM(O85:O86)</f>
        <v>77174.5</v>
      </c>
      <c r="P88" s="148">
        <f>SUM(P85:P86)</f>
        <v>72544.028879999998</v>
      </c>
      <c r="Q88" s="148">
        <f>SUM(Q85:Q86)</f>
        <v>4630.471120000002</v>
      </c>
      <c r="R88" s="148"/>
      <c r="S88" s="148">
        <f>SUM(S86:S87)</f>
        <v>5.3</v>
      </c>
      <c r="T88" s="148"/>
      <c r="U88" s="91">
        <f>SUM(U86:U87)</f>
        <v>155479.98668</v>
      </c>
      <c r="V88" s="64">
        <f>SUM(V86:V87)</f>
        <v>136822.38640017633</v>
      </c>
      <c r="W88" s="30">
        <f>SUM(W86:W87)</f>
        <v>18657.600279823673</v>
      </c>
      <c r="X88" s="69"/>
      <c r="Y88" s="67"/>
      <c r="Z88" s="39"/>
      <c r="AA88" s="39"/>
      <c r="AB88" s="76"/>
    </row>
    <row r="89" spans="1:29" s="27" customFormat="1" ht="33" customHeight="1">
      <c r="A89" s="172" t="s">
        <v>171</v>
      </c>
      <c r="B89" s="173"/>
      <c r="C89" s="174"/>
      <c r="D89" s="100"/>
      <c r="E89" s="147"/>
      <c r="F89" s="148"/>
      <c r="G89" s="88"/>
      <c r="H89" s="90"/>
      <c r="I89" s="90"/>
      <c r="J89" s="90"/>
      <c r="K89" s="90"/>
      <c r="L89" s="90"/>
      <c r="M89" s="90"/>
      <c r="N89" s="88"/>
      <c r="O89" s="90"/>
      <c r="P89" s="90"/>
      <c r="Q89" s="90"/>
      <c r="R89" s="90"/>
      <c r="S89" s="90"/>
      <c r="T89" s="90"/>
      <c r="U89" s="92"/>
      <c r="V89" s="18"/>
      <c r="W89" s="36"/>
      <c r="X89" s="67"/>
      <c r="Y89" s="67"/>
      <c r="Z89" s="39"/>
      <c r="AA89" s="39"/>
      <c r="AB89" s="76"/>
    </row>
    <row r="90" spans="1:29" s="27" customFormat="1" ht="60" customHeight="1">
      <c r="A90" s="87">
        <v>31</v>
      </c>
      <c r="B90" s="94" t="s">
        <v>74</v>
      </c>
      <c r="C90" s="88" t="s">
        <v>22</v>
      </c>
      <c r="D90" s="100">
        <v>4.0999999999999996</v>
      </c>
      <c r="E90" s="100"/>
      <c r="F90" s="90">
        <v>128306.87396</v>
      </c>
      <c r="G90" s="89"/>
      <c r="H90" s="90"/>
      <c r="I90" s="90"/>
      <c r="J90" s="90"/>
      <c r="K90" s="90"/>
      <c r="L90" s="90"/>
      <c r="M90" s="89">
        <v>4.0999999999999996</v>
      </c>
      <c r="N90" s="89"/>
      <c r="O90" s="105">
        <f>F90</f>
        <v>128306.87396</v>
      </c>
      <c r="P90" s="90">
        <v>120608.45967</v>
      </c>
      <c r="Q90" s="90">
        <f>O90-P90</f>
        <v>7698.4142900000006</v>
      </c>
      <c r="R90" s="90"/>
      <c r="S90" s="90"/>
      <c r="T90" s="90"/>
      <c r="U90" s="92"/>
      <c r="V90" s="18"/>
      <c r="W90" s="36"/>
      <c r="X90" s="67"/>
      <c r="Y90" s="67"/>
      <c r="Z90" s="39"/>
      <c r="AA90" s="39"/>
      <c r="AB90" s="76"/>
    </row>
    <row r="91" spans="1:29" s="27" customFormat="1" ht="44.25" hidden="1" customHeight="1">
      <c r="A91" s="87">
        <v>27</v>
      </c>
      <c r="B91" s="94" t="s">
        <v>75</v>
      </c>
      <c r="C91" s="88"/>
      <c r="D91" s="100"/>
      <c r="E91" s="100"/>
      <c r="F91" s="90"/>
      <c r="G91" s="89"/>
      <c r="H91" s="90"/>
      <c r="I91" s="90"/>
      <c r="J91" s="90"/>
      <c r="K91" s="90"/>
      <c r="L91" s="90"/>
      <c r="M91" s="89"/>
      <c r="N91" s="89"/>
      <c r="O91" s="105"/>
      <c r="P91" s="105"/>
      <c r="Q91" s="90"/>
      <c r="R91" s="90"/>
      <c r="S91" s="89"/>
      <c r="T91" s="90"/>
      <c r="U91" s="92"/>
      <c r="V91" s="18">
        <f>U91*0.88</f>
        <v>0</v>
      </c>
      <c r="W91" s="36">
        <f>U91-V91</f>
        <v>0</v>
      </c>
      <c r="X91" s="67"/>
      <c r="Y91" s="67"/>
      <c r="Z91" s="39"/>
      <c r="AA91" s="39"/>
      <c r="AB91" s="76"/>
    </row>
    <row r="92" spans="1:29" s="27" customFormat="1" ht="57" customHeight="1">
      <c r="A92" s="87">
        <v>32</v>
      </c>
      <c r="B92" s="94" t="s">
        <v>139</v>
      </c>
      <c r="C92" s="88" t="s">
        <v>22</v>
      </c>
      <c r="D92" s="100">
        <v>2.1</v>
      </c>
      <c r="E92" s="100"/>
      <c r="F92" s="90">
        <v>38675.228329999998</v>
      </c>
      <c r="G92" s="89"/>
      <c r="H92" s="90"/>
      <c r="I92" s="90"/>
      <c r="J92" s="90"/>
      <c r="K92" s="90"/>
      <c r="L92" s="90"/>
      <c r="M92" s="89"/>
      <c r="N92" s="89"/>
      <c r="O92" s="105"/>
      <c r="P92" s="105"/>
      <c r="Q92" s="90"/>
      <c r="R92" s="90"/>
      <c r="S92" s="89">
        <f>D92</f>
        <v>2.1</v>
      </c>
      <c r="T92" s="90"/>
      <c r="U92" s="92">
        <f>F92</f>
        <v>38675.228329999998</v>
      </c>
      <c r="V92" s="18">
        <f t="shared" ref="V92:V93" si="14">U92*0.879999983231406</f>
        <v>34034.200281870799</v>
      </c>
      <c r="W92" s="36">
        <f>U92-V92</f>
        <v>4641.0280481291993</v>
      </c>
      <c r="X92" s="67"/>
      <c r="Y92" s="67"/>
      <c r="Z92" s="39"/>
      <c r="AA92" s="39"/>
      <c r="AB92" s="76"/>
    </row>
    <row r="93" spans="1:29" s="27" customFormat="1" ht="69" customHeight="1">
      <c r="A93" s="87">
        <v>33</v>
      </c>
      <c r="B93" s="142" t="s">
        <v>157</v>
      </c>
      <c r="C93" s="16" t="s">
        <v>22</v>
      </c>
      <c r="D93" s="22">
        <v>1.5</v>
      </c>
      <c r="E93" s="22"/>
      <c r="F93" s="18">
        <v>39222.435219999999</v>
      </c>
      <c r="G93" s="89"/>
      <c r="H93" s="90"/>
      <c r="I93" s="90"/>
      <c r="J93" s="90"/>
      <c r="K93" s="90"/>
      <c r="L93" s="90"/>
      <c r="M93" s="89"/>
      <c r="N93" s="89"/>
      <c r="O93" s="105"/>
      <c r="P93" s="105"/>
      <c r="Q93" s="90"/>
      <c r="R93" s="90"/>
      <c r="S93" s="89">
        <f>D93</f>
        <v>1.5</v>
      </c>
      <c r="T93" s="90"/>
      <c r="U93" s="92">
        <f>F93</f>
        <v>39222.435219999999</v>
      </c>
      <c r="V93" s="18">
        <f t="shared" si="14"/>
        <v>34515.742335894909</v>
      </c>
      <c r="W93" s="36">
        <f>U93-V93</f>
        <v>4706.6928841050903</v>
      </c>
      <c r="X93" s="67"/>
      <c r="Y93" s="67"/>
      <c r="Z93" s="39"/>
      <c r="AA93" s="39"/>
      <c r="AB93" s="76"/>
    </row>
    <row r="94" spans="1:29" s="27" customFormat="1" ht="29.25" customHeight="1">
      <c r="A94" s="104"/>
      <c r="B94" s="57" t="s">
        <v>42</v>
      </c>
      <c r="C94" s="88"/>
      <c r="D94" s="105">
        <f>SUM(D90:D93)</f>
        <v>7.6999999999999993</v>
      </c>
      <c r="E94" s="90"/>
      <c r="F94" s="105">
        <f>SUM(F90:F93)</f>
        <v>206204.53750999999</v>
      </c>
      <c r="G94" s="89"/>
      <c r="H94" s="90"/>
      <c r="I94" s="90"/>
      <c r="J94" s="90"/>
      <c r="K94" s="90"/>
      <c r="L94" s="90"/>
      <c r="M94" s="105">
        <f>SUM(M90:M90)</f>
        <v>4.0999999999999996</v>
      </c>
      <c r="N94" s="100"/>
      <c r="O94" s="105">
        <f>SUM(O90:O90)</f>
        <v>128306.87396</v>
      </c>
      <c r="P94" s="105">
        <f>SUM(P90:P90)</f>
        <v>120608.45967</v>
      </c>
      <c r="Q94" s="105">
        <f>SUM(Q90:Q90)</f>
        <v>7698.4142900000006</v>
      </c>
      <c r="R94" s="90"/>
      <c r="S94" s="89">
        <f>SUM(S92:S93)</f>
        <v>3.6</v>
      </c>
      <c r="T94" s="90"/>
      <c r="U94" s="92">
        <f>SUM(U92:U93)</f>
        <v>77897.663549999997</v>
      </c>
      <c r="V94" s="18">
        <f>SUM(V91:V93)</f>
        <v>68549.942617765715</v>
      </c>
      <c r="W94" s="36">
        <f>SUM(W91:W93)</f>
        <v>9347.7209322342896</v>
      </c>
      <c r="X94" s="67"/>
      <c r="Y94" s="67"/>
      <c r="Z94" s="39"/>
      <c r="AA94" s="39"/>
      <c r="AB94" s="76"/>
    </row>
    <row r="95" spans="1:29" s="27" customFormat="1" ht="30" customHeight="1">
      <c r="A95" s="97"/>
      <c r="B95" s="57" t="s">
        <v>43</v>
      </c>
      <c r="C95" s="88"/>
      <c r="D95" s="95">
        <f>M95</f>
        <v>4.7569999999999997</v>
      </c>
      <c r="E95" s="95"/>
      <c r="F95" s="90">
        <f>O95</f>
        <v>93131.9</v>
      </c>
      <c r="G95" s="90">
        <v>9.5839999999999996</v>
      </c>
      <c r="H95" s="90"/>
      <c r="I95" s="90">
        <v>196556</v>
      </c>
      <c r="J95" s="90"/>
      <c r="K95" s="90">
        <f>I95</f>
        <v>196556</v>
      </c>
      <c r="L95" s="90"/>
      <c r="M95" s="105">
        <v>4.7569999999999997</v>
      </c>
      <c r="N95" s="100"/>
      <c r="O95" s="105">
        <v>93131.9</v>
      </c>
      <c r="P95" s="105"/>
      <c r="Q95" s="105">
        <f>O95</f>
        <v>93131.9</v>
      </c>
      <c r="R95" s="90"/>
      <c r="S95" s="90"/>
      <c r="T95" s="90"/>
      <c r="U95" s="92"/>
      <c r="V95" s="18"/>
      <c r="W95" s="36"/>
      <c r="X95" s="67"/>
      <c r="Y95" s="67"/>
      <c r="Z95" s="39"/>
      <c r="AA95" s="39"/>
      <c r="AB95" s="76"/>
    </row>
    <row r="96" spans="1:29" s="27" customFormat="1" ht="33.75" customHeight="1">
      <c r="A96" s="181" t="s">
        <v>172</v>
      </c>
      <c r="B96" s="182"/>
      <c r="C96" s="183"/>
      <c r="D96" s="148">
        <f>SUM(D94:D95)</f>
        <v>12.456999999999999</v>
      </c>
      <c r="E96" s="148"/>
      <c r="F96" s="148">
        <f>SUM(F94:F95)</f>
        <v>299336.43750999996</v>
      </c>
      <c r="G96" s="148">
        <f>SUM(G94:G95)</f>
        <v>9.5839999999999996</v>
      </c>
      <c r="H96" s="148"/>
      <c r="I96" s="148">
        <f>SUM(I94:I95)</f>
        <v>196556</v>
      </c>
      <c r="J96" s="148"/>
      <c r="K96" s="148">
        <f>SUM(K94:K95)</f>
        <v>196556</v>
      </c>
      <c r="L96" s="148"/>
      <c r="M96" s="148">
        <f>SUM(M94:M95)</f>
        <v>8.8569999999999993</v>
      </c>
      <c r="N96" s="148"/>
      <c r="O96" s="148">
        <f>SUM(O94:O95)</f>
        <v>221438.77395999999</v>
      </c>
      <c r="P96" s="148">
        <f>SUM(P94:P95)</f>
        <v>120608.45967</v>
      </c>
      <c r="Q96" s="148">
        <f>SUM(Q94:Q95)</f>
        <v>100830.31428999999</v>
      </c>
      <c r="R96" s="148"/>
      <c r="S96" s="148">
        <f>SUM(S94:S95)</f>
        <v>3.6</v>
      </c>
      <c r="T96" s="148"/>
      <c r="U96" s="148">
        <f>SUM(U94:U95)</f>
        <v>77897.663549999997</v>
      </c>
      <c r="V96" s="64">
        <f>SUM(V94:V95)</f>
        <v>68549.942617765715</v>
      </c>
      <c r="W96" s="30">
        <f>SUM(W94:W95)</f>
        <v>9347.7209322342896</v>
      </c>
      <c r="X96" s="69"/>
      <c r="Y96" s="67"/>
      <c r="Z96" s="39"/>
      <c r="AA96" s="39"/>
      <c r="AB96" s="76"/>
      <c r="AC96" s="31">
        <f>O96+U96</f>
        <v>299336.43750999996</v>
      </c>
    </row>
    <row r="97" spans="1:29" s="27" customFormat="1" ht="26.25" customHeight="1">
      <c r="A97" s="172" t="s">
        <v>173</v>
      </c>
      <c r="B97" s="173"/>
      <c r="C97" s="174"/>
      <c r="D97" s="100"/>
      <c r="E97" s="147"/>
      <c r="F97" s="148"/>
      <c r="G97" s="88"/>
      <c r="H97" s="90"/>
      <c r="I97" s="90"/>
      <c r="J97" s="90"/>
      <c r="K97" s="90"/>
      <c r="L97" s="90"/>
      <c r="M97" s="90"/>
      <c r="N97" s="88"/>
      <c r="O97" s="90"/>
      <c r="P97" s="90"/>
      <c r="Q97" s="90"/>
      <c r="R97" s="90"/>
      <c r="S97" s="90"/>
      <c r="T97" s="90"/>
      <c r="U97" s="92"/>
      <c r="V97" s="18"/>
      <c r="W97" s="36"/>
      <c r="X97" s="67"/>
      <c r="Y97" s="67"/>
      <c r="Z97" s="39"/>
      <c r="AA97" s="39"/>
      <c r="AB97" s="76"/>
    </row>
    <row r="98" spans="1:29" s="27" customFormat="1" ht="46.5" hidden="1" customHeight="1">
      <c r="A98" s="87">
        <v>30</v>
      </c>
      <c r="B98" s="106" t="s">
        <v>76</v>
      </c>
      <c r="C98" s="88" t="s">
        <v>22</v>
      </c>
      <c r="D98" s="100">
        <v>3.9</v>
      </c>
      <c r="E98" s="147"/>
      <c r="F98" s="90">
        <v>76711.600330000001</v>
      </c>
      <c r="G98" s="100">
        <f>D98</f>
        <v>3.9</v>
      </c>
      <c r="H98" s="90"/>
      <c r="I98" s="90">
        <f>F98</f>
        <v>76711.600330000001</v>
      </c>
      <c r="J98" s="90"/>
      <c r="K98" s="90">
        <f>I98</f>
        <v>76711.600330000001</v>
      </c>
      <c r="L98" s="90"/>
      <c r="M98" s="90"/>
      <c r="N98" s="88"/>
      <c r="O98" s="90"/>
      <c r="P98" s="90"/>
      <c r="Q98" s="90"/>
      <c r="R98" s="90"/>
      <c r="S98" s="90"/>
      <c r="T98" s="90"/>
      <c r="U98" s="92"/>
      <c r="V98" s="18"/>
      <c r="W98" s="36"/>
      <c r="X98" s="67"/>
      <c r="Y98" s="67"/>
      <c r="Z98" s="39"/>
      <c r="AA98" s="39"/>
      <c r="AB98" s="76"/>
    </row>
    <row r="99" spans="1:29" s="27" customFormat="1" ht="34.5" customHeight="1">
      <c r="A99" s="87">
        <v>34</v>
      </c>
      <c r="B99" s="106" t="s">
        <v>77</v>
      </c>
      <c r="C99" s="88" t="s">
        <v>22</v>
      </c>
      <c r="D99" s="100">
        <v>4.2</v>
      </c>
      <c r="E99" s="147"/>
      <c r="F99" s="90">
        <v>131455.49917</v>
      </c>
      <c r="G99" s="100"/>
      <c r="H99" s="90"/>
      <c r="I99" s="90"/>
      <c r="J99" s="90"/>
      <c r="K99" s="90"/>
      <c r="L99" s="90"/>
      <c r="M99" s="89">
        <v>4.2</v>
      </c>
      <c r="N99" s="88"/>
      <c r="O99" s="90">
        <f>F99</f>
        <v>131455.49917</v>
      </c>
      <c r="P99" s="90">
        <v>123568.16731999999</v>
      </c>
      <c r="Q99" s="90">
        <f>O99-P99</f>
        <v>7887.3318500000023</v>
      </c>
      <c r="R99" s="90"/>
      <c r="S99" s="90"/>
      <c r="T99" s="90"/>
      <c r="U99" s="92"/>
      <c r="V99" s="18"/>
      <c r="W99" s="36"/>
      <c r="X99" s="67"/>
      <c r="Y99" s="67"/>
      <c r="Z99" s="39"/>
      <c r="AA99" s="39"/>
      <c r="AB99" s="76"/>
    </row>
    <row r="100" spans="1:29" s="27" customFormat="1" ht="46.5" customHeight="1">
      <c r="A100" s="87">
        <v>35</v>
      </c>
      <c r="B100" s="106" t="s">
        <v>140</v>
      </c>
      <c r="C100" s="88" t="s">
        <v>22</v>
      </c>
      <c r="D100" s="100">
        <v>1.2</v>
      </c>
      <c r="E100" s="147"/>
      <c r="F100" s="90">
        <v>41183.639380000001</v>
      </c>
      <c r="G100" s="100"/>
      <c r="H100" s="90"/>
      <c r="I100" s="90"/>
      <c r="J100" s="90"/>
      <c r="K100" s="90"/>
      <c r="L100" s="90"/>
      <c r="M100" s="89"/>
      <c r="N100" s="88"/>
      <c r="O100" s="90"/>
      <c r="P100" s="90"/>
      <c r="Q100" s="90"/>
      <c r="R100" s="90"/>
      <c r="S100" s="89">
        <f>D100</f>
        <v>1.2</v>
      </c>
      <c r="T100" s="90"/>
      <c r="U100" s="92">
        <f>F100</f>
        <v>41183.639380000001</v>
      </c>
      <c r="V100" s="18">
        <f t="shared" ref="V100" si="15">U100*0.879999983231406</f>
        <v>36241.601963808273</v>
      </c>
      <c r="W100" s="36">
        <f>U100-V100</f>
        <v>4942.037416191728</v>
      </c>
      <c r="X100" s="67"/>
      <c r="Y100" s="67"/>
      <c r="Z100" s="39"/>
      <c r="AA100" s="39"/>
      <c r="AB100" s="76"/>
    </row>
    <row r="101" spans="1:29" s="27" customFormat="1" ht="45" customHeight="1">
      <c r="A101" s="87">
        <v>36</v>
      </c>
      <c r="B101" s="106" t="s">
        <v>78</v>
      </c>
      <c r="C101" s="88" t="s">
        <v>24</v>
      </c>
      <c r="D101" s="100">
        <v>2.1</v>
      </c>
      <c r="E101" s="147"/>
      <c r="F101" s="90">
        <v>59343.527450000001</v>
      </c>
      <c r="G101" s="100"/>
      <c r="H101" s="90"/>
      <c r="I101" s="90"/>
      <c r="J101" s="90"/>
      <c r="K101" s="90"/>
      <c r="L101" s="90"/>
      <c r="M101" s="89">
        <f>D101</f>
        <v>2.1</v>
      </c>
      <c r="N101" s="88"/>
      <c r="O101" s="90">
        <f>F101</f>
        <v>59343.527450000001</v>
      </c>
      <c r="P101" s="90">
        <v>55782.914944442717</v>
      </c>
      <c r="Q101" s="90">
        <f>O101-P101</f>
        <v>3560.6125055572847</v>
      </c>
      <c r="R101" s="90"/>
      <c r="S101" s="89"/>
      <c r="T101" s="90"/>
      <c r="U101" s="92"/>
      <c r="V101" s="18"/>
      <c r="W101" s="36"/>
      <c r="X101" s="67"/>
      <c r="Y101" s="67"/>
      <c r="Z101" s="39"/>
      <c r="AA101" s="39"/>
      <c r="AB101" s="76"/>
    </row>
    <row r="102" spans="1:29" s="27" customFormat="1" ht="33" customHeight="1">
      <c r="A102" s="181" t="s">
        <v>174</v>
      </c>
      <c r="B102" s="182"/>
      <c r="C102" s="183"/>
      <c r="D102" s="96">
        <f>SUM(D99:D101)</f>
        <v>7.5</v>
      </c>
      <c r="E102" s="90"/>
      <c r="F102" s="148">
        <f>SUM(F99:F101)</f>
        <v>231982.666</v>
      </c>
      <c r="G102" s="96">
        <f>SUM(G98)</f>
        <v>3.9</v>
      </c>
      <c r="H102" s="96"/>
      <c r="I102" s="148">
        <f>SUM(I98)</f>
        <v>76711.600330000001</v>
      </c>
      <c r="J102" s="148"/>
      <c r="K102" s="148">
        <f>SUM(K98)</f>
        <v>76711.600330000001</v>
      </c>
      <c r="L102" s="148"/>
      <c r="M102" s="96">
        <f>SUM(M99:M101)</f>
        <v>6.3000000000000007</v>
      </c>
      <c r="N102" s="96"/>
      <c r="O102" s="148">
        <f>SUM(O99:O101)</f>
        <v>190799.02661999999</v>
      </c>
      <c r="P102" s="148">
        <f>SUM(P99:P101)</f>
        <v>179351.0822644427</v>
      </c>
      <c r="Q102" s="148">
        <f>SUM(Q99:Q101)</f>
        <v>11447.944355557287</v>
      </c>
      <c r="R102" s="148"/>
      <c r="S102" s="148">
        <f>SUM(S100:S101)</f>
        <v>1.2</v>
      </c>
      <c r="T102" s="148"/>
      <c r="U102" s="91">
        <f>SUM(U100:U101)</f>
        <v>41183.639380000001</v>
      </c>
      <c r="V102" s="64">
        <f>SUM(V100:V101)</f>
        <v>36241.601963808273</v>
      </c>
      <c r="W102" s="30">
        <f>SUM(W100:W101)</f>
        <v>4942.037416191728</v>
      </c>
      <c r="X102" s="69"/>
      <c r="Y102" s="67"/>
      <c r="Z102" s="39"/>
      <c r="AA102" s="39"/>
      <c r="AB102" s="76"/>
    </row>
    <row r="103" spans="1:29" s="27" customFormat="1" ht="36.75" customHeight="1">
      <c r="A103" s="172" t="s">
        <v>160</v>
      </c>
      <c r="B103" s="173"/>
      <c r="C103" s="174"/>
      <c r="D103" s="100"/>
      <c r="E103" s="147"/>
      <c r="F103" s="148"/>
      <c r="G103" s="88"/>
      <c r="H103" s="90"/>
      <c r="I103" s="90"/>
      <c r="J103" s="90"/>
      <c r="K103" s="90"/>
      <c r="L103" s="90"/>
      <c r="M103" s="90"/>
      <c r="N103" s="88"/>
      <c r="O103" s="90"/>
      <c r="P103" s="90"/>
      <c r="Q103" s="90"/>
      <c r="R103" s="90"/>
      <c r="S103" s="90"/>
      <c r="T103" s="90"/>
      <c r="U103" s="92"/>
      <c r="V103" s="18"/>
      <c r="W103" s="36"/>
      <c r="X103" s="67"/>
      <c r="Y103" s="67"/>
      <c r="Z103" s="39"/>
      <c r="AA103" s="39"/>
      <c r="AB103" s="76"/>
    </row>
    <row r="104" spans="1:29" s="27" customFormat="1" ht="42" customHeight="1">
      <c r="A104" s="87">
        <v>37</v>
      </c>
      <c r="B104" s="106" t="s">
        <v>79</v>
      </c>
      <c r="C104" s="88" t="s">
        <v>22</v>
      </c>
      <c r="D104" s="100">
        <v>4.4000000000000004</v>
      </c>
      <c r="E104" s="102"/>
      <c r="F104" s="90">
        <v>118184.28718</v>
      </c>
      <c r="G104" s="89"/>
      <c r="H104" s="90"/>
      <c r="I104" s="90"/>
      <c r="J104" s="90"/>
      <c r="K104" s="90"/>
      <c r="L104" s="90"/>
      <c r="M104" s="102">
        <v>4.4000000000000004</v>
      </c>
      <c r="N104" s="90"/>
      <c r="O104" s="90">
        <f>F104</f>
        <v>118184.28718</v>
      </c>
      <c r="P104" s="90">
        <v>111093.22824</v>
      </c>
      <c r="Q104" s="90">
        <f>O104-P104</f>
        <v>7091.0589400000026</v>
      </c>
      <c r="R104" s="90"/>
      <c r="S104" s="90"/>
      <c r="T104" s="90"/>
      <c r="U104" s="92"/>
      <c r="V104" s="18"/>
      <c r="W104" s="36"/>
      <c r="X104" s="67"/>
      <c r="Y104" s="67"/>
      <c r="Z104" s="39"/>
      <c r="AA104" s="39"/>
      <c r="AB104" s="76"/>
    </row>
    <row r="105" spans="1:29" s="27" customFormat="1" ht="63" customHeight="1">
      <c r="A105" s="87">
        <v>38</v>
      </c>
      <c r="B105" s="106" t="s">
        <v>80</v>
      </c>
      <c r="C105" s="88" t="s">
        <v>22</v>
      </c>
      <c r="D105" s="100">
        <v>5.4</v>
      </c>
      <c r="E105" s="102"/>
      <c r="F105" s="90">
        <v>106995.66696</v>
      </c>
      <c r="G105" s="89"/>
      <c r="H105" s="90"/>
      <c r="I105" s="90"/>
      <c r="J105" s="90"/>
      <c r="K105" s="90"/>
      <c r="L105" s="90"/>
      <c r="M105" s="102">
        <f>D105</f>
        <v>5.4</v>
      </c>
      <c r="N105" s="90"/>
      <c r="O105" s="90">
        <f>F105</f>
        <v>106995.66696</v>
      </c>
      <c r="P105" s="90">
        <v>100575.92539443153</v>
      </c>
      <c r="Q105" s="90">
        <f>O105-P105</f>
        <v>6419.7415655684745</v>
      </c>
      <c r="R105" s="90"/>
      <c r="S105" s="89"/>
      <c r="T105" s="90"/>
      <c r="U105" s="92"/>
      <c r="V105" s="18"/>
      <c r="W105" s="36"/>
      <c r="X105" s="67"/>
      <c r="Y105" s="67"/>
      <c r="Z105" s="39"/>
      <c r="AA105" s="39"/>
      <c r="AB105" s="76"/>
    </row>
    <row r="106" spans="1:29" s="27" customFormat="1" ht="75.75" customHeight="1">
      <c r="A106" s="87">
        <v>39</v>
      </c>
      <c r="B106" s="106" t="s">
        <v>158</v>
      </c>
      <c r="C106" s="88" t="s">
        <v>22</v>
      </c>
      <c r="D106" s="100">
        <f>17.5-11.4</f>
        <v>6.1</v>
      </c>
      <c r="E106" s="102"/>
      <c r="F106" s="90">
        <f>183000+20000</f>
        <v>203000</v>
      </c>
      <c r="G106" s="89"/>
      <c r="H106" s="90"/>
      <c r="I106" s="90"/>
      <c r="J106" s="90"/>
      <c r="K106" s="90"/>
      <c r="L106" s="90"/>
      <c r="M106" s="102"/>
      <c r="N106" s="90"/>
      <c r="O106" s="90"/>
      <c r="P106" s="90"/>
      <c r="Q106" s="90"/>
      <c r="R106" s="90"/>
      <c r="S106" s="89"/>
      <c r="T106" s="90"/>
      <c r="U106" s="92">
        <f>73004.22742+86755.77754-9478+30+16085.4-28000</f>
        <v>138397.40495999999</v>
      </c>
      <c r="V106" s="18">
        <f>U106*0.879999983231406</f>
        <v>121789.7140440701</v>
      </c>
      <c r="W106" s="36">
        <f>U106-V106</f>
        <v>16607.690915929881</v>
      </c>
      <c r="X106" s="89">
        <f>D106</f>
        <v>6.1</v>
      </c>
      <c r="Y106" s="67"/>
      <c r="Z106" s="92">
        <f>F106-U106</f>
        <v>64602.595040000015</v>
      </c>
      <c r="AA106" s="18">
        <f t="shared" ref="AA106" si="16">Z106*0.819999994727603</f>
        <v>52974.127592189485</v>
      </c>
      <c r="AB106" s="36">
        <f>Z106-AA106</f>
        <v>11628.46744781053</v>
      </c>
    </row>
    <row r="107" spans="1:29" s="27" customFormat="1" ht="51" customHeight="1">
      <c r="A107" s="181" t="s">
        <v>175</v>
      </c>
      <c r="B107" s="182"/>
      <c r="C107" s="183"/>
      <c r="D107" s="96">
        <f>SUM(D104:D106)</f>
        <v>15.9</v>
      </c>
      <c r="E107" s="96"/>
      <c r="F107" s="148">
        <f>SUM(F104:F106)</f>
        <v>428179.95413999999</v>
      </c>
      <c r="G107" s="96"/>
      <c r="H107" s="148"/>
      <c r="I107" s="148"/>
      <c r="J107" s="148"/>
      <c r="K107" s="148"/>
      <c r="L107" s="148"/>
      <c r="M107" s="96">
        <f>SUM(M104:M105)</f>
        <v>9.8000000000000007</v>
      </c>
      <c r="N107" s="96"/>
      <c r="O107" s="148">
        <f>SUM(O104:O105)</f>
        <v>225179.95413999999</v>
      </c>
      <c r="P107" s="148">
        <f>SUM(P104:P105)</f>
        <v>211669.15363443154</v>
      </c>
      <c r="Q107" s="148">
        <f>SUM(Q104:Q105)</f>
        <v>13510.800505568477</v>
      </c>
      <c r="R107" s="148"/>
      <c r="S107" s="148">
        <f>SUM(S105)</f>
        <v>0</v>
      </c>
      <c r="T107" s="148"/>
      <c r="U107" s="148">
        <f>SUM(U106)</f>
        <v>138397.40495999999</v>
      </c>
      <c r="V107" s="64">
        <f>SUM(V106)</f>
        <v>121789.7140440701</v>
      </c>
      <c r="W107" s="30">
        <f>SUM(W106)</f>
        <v>16607.690915929881</v>
      </c>
      <c r="X107" s="96">
        <f>SUM(X106)</f>
        <v>6.1</v>
      </c>
      <c r="Y107" s="67"/>
      <c r="Z107" s="148">
        <f>SUM(Z106)</f>
        <v>64602.595040000015</v>
      </c>
      <c r="AA107" s="64">
        <f>SUM(AA106)</f>
        <v>52974.127592189485</v>
      </c>
      <c r="AB107" s="30">
        <f>SUM(AB106)</f>
        <v>11628.46744781053</v>
      </c>
    </row>
    <row r="108" spans="1:29" s="27" customFormat="1" ht="27" customHeight="1">
      <c r="A108" s="172" t="s">
        <v>81</v>
      </c>
      <c r="B108" s="173"/>
      <c r="C108" s="174"/>
      <c r="D108" s="100"/>
      <c r="E108" s="148"/>
      <c r="F108" s="148"/>
      <c r="G108" s="148"/>
      <c r="H108" s="148"/>
      <c r="I108" s="148"/>
      <c r="J108" s="148"/>
      <c r="K108" s="148"/>
      <c r="L108" s="148"/>
      <c r="M108" s="107"/>
      <c r="N108" s="148"/>
      <c r="O108" s="148"/>
      <c r="P108" s="148"/>
      <c r="Q108" s="148"/>
      <c r="R108" s="148"/>
      <c r="S108" s="148"/>
      <c r="T108" s="148"/>
      <c r="U108" s="91"/>
      <c r="V108" s="64"/>
      <c r="W108" s="30"/>
      <c r="X108" s="67"/>
      <c r="Y108" s="67"/>
      <c r="Z108" s="39"/>
      <c r="AA108" s="39"/>
      <c r="AB108" s="76"/>
    </row>
    <row r="109" spans="1:29" s="27" customFormat="1" ht="63.75" customHeight="1">
      <c r="A109" s="87">
        <v>40</v>
      </c>
      <c r="B109" s="106" t="s">
        <v>137</v>
      </c>
      <c r="C109" s="88" t="s">
        <v>22</v>
      </c>
      <c r="D109" s="100"/>
      <c r="E109" s="148"/>
      <c r="F109" s="90">
        <f>I109+O109</f>
        <v>273838.16224999999</v>
      </c>
      <c r="G109" s="148"/>
      <c r="H109" s="148"/>
      <c r="I109" s="90">
        <v>150000</v>
      </c>
      <c r="J109" s="148"/>
      <c r="K109" s="90">
        <f>I109</f>
        <v>150000</v>
      </c>
      <c r="L109" s="148"/>
      <c r="M109" s="100"/>
      <c r="N109" s="148"/>
      <c r="O109" s="90">
        <f>173992.47899-50154.31674</f>
        <v>123838.16224999999</v>
      </c>
      <c r="P109" s="90">
        <f t="shared" ref="P109" si="17">O109*0.939999985532419</f>
        <v>116407.87072336135</v>
      </c>
      <c r="Q109" s="90">
        <f>O109-P109</f>
        <v>7430.2915266386408</v>
      </c>
      <c r="R109" s="148"/>
      <c r="S109" s="148"/>
      <c r="T109" s="148"/>
      <c r="U109" s="91"/>
      <c r="V109" s="64"/>
      <c r="W109" s="30"/>
      <c r="X109" s="67"/>
      <c r="Y109" s="67"/>
      <c r="Z109" s="71"/>
      <c r="AA109" s="39"/>
      <c r="AB109" s="76"/>
      <c r="AC109" s="31">
        <f>F109-O109</f>
        <v>150000</v>
      </c>
    </row>
    <row r="110" spans="1:29" s="27" customFormat="1" ht="43.5" customHeight="1">
      <c r="A110" s="87">
        <v>41</v>
      </c>
      <c r="B110" s="106" t="s">
        <v>141</v>
      </c>
      <c r="C110" s="88" t="s">
        <v>22</v>
      </c>
      <c r="D110" s="100">
        <v>2.226</v>
      </c>
      <c r="E110" s="148"/>
      <c r="F110" s="90">
        <v>60464.042419999998</v>
      </c>
      <c r="G110" s="148"/>
      <c r="H110" s="148"/>
      <c r="I110" s="90"/>
      <c r="J110" s="148"/>
      <c r="K110" s="90"/>
      <c r="L110" s="148"/>
      <c r="M110" s="100">
        <f>D110</f>
        <v>2.226</v>
      </c>
      <c r="N110" s="148"/>
      <c r="O110" s="90">
        <v>60464.042419999998</v>
      </c>
      <c r="P110" s="90">
        <v>56836.199000000001</v>
      </c>
      <c r="Q110" s="90">
        <f>O110-P110</f>
        <v>3627.8434199999974</v>
      </c>
      <c r="R110" s="148"/>
      <c r="S110" s="148"/>
      <c r="T110" s="148"/>
      <c r="U110" s="91"/>
      <c r="V110" s="64"/>
      <c r="W110" s="30"/>
      <c r="X110" s="67"/>
      <c r="Y110" s="67"/>
      <c r="Z110" s="39"/>
      <c r="AA110" s="39"/>
      <c r="AB110" s="76"/>
    </row>
    <row r="111" spans="1:29" s="27" customFormat="1" ht="48" customHeight="1">
      <c r="A111" s="87">
        <v>42</v>
      </c>
      <c r="B111" s="94" t="s">
        <v>82</v>
      </c>
      <c r="C111" s="88" t="s">
        <v>22</v>
      </c>
      <c r="D111" s="100">
        <v>9.6470000000000002</v>
      </c>
      <c r="E111" s="100"/>
      <c r="F111" s="90">
        <v>261742.54837999999</v>
      </c>
      <c r="G111" s="148"/>
      <c r="H111" s="148"/>
      <c r="I111" s="90"/>
      <c r="J111" s="148" t="s">
        <v>50</v>
      </c>
      <c r="K111" s="90"/>
      <c r="L111" s="148"/>
      <c r="M111" s="100"/>
      <c r="N111" s="148"/>
      <c r="O111" s="90">
        <v>109799.2124</v>
      </c>
      <c r="P111" s="90">
        <v>103211.25807</v>
      </c>
      <c r="Q111" s="90">
        <f>O111-P111</f>
        <v>6587.9543300000078</v>
      </c>
      <c r="R111" s="148"/>
      <c r="S111" s="89">
        <f>D111</f>
        <v>9.6470000000000002</v>
      </c>
      <c r="T111" s="90"/>
      <c r="U111" s="92">
        <f>F111-O111</f>
        <v>151943.33597999997</v>
      </c>
      <c r="V111" s="18">
        <f t="shared" ref="V111:V112" si="18">U111*0.879999983231406</f>
        <v>133710.13311452387</v>
      </c>
      <c r="W111" s="36">
        <f>U111-V111</f>
        <v>18233.202865476109</v>
      </c>
      <c r="X111" s="17"/>
      <c r="Y111" s="18"/>
      <c r="Z111" s="18"/>
      <c r="AA111" s="39"/>
      <c r="AB111" s="76"/>
    </row>
    <row r="112" spans="1:29" s="27" customFormat="1" ht="44.25" customHeight="1">
      <c r="A112" s="87">
        <v>43</v>
      </c>
      <c r="B112" s="106" t="s">
        <v>131</v>
      </c>
      <c r="C112" s="88" t="s">
        <v>22</v>
      </c>
      <c r="D112" s="100">
        <f>2.8-0.018</f>
        <v>2.782</v>
      </c>
      <c r="E112" s="148"/>
      <c r="F112" s="90">
        <v>84265.095249999998</v>
      </c>
      <c r="G112" s="148"/>
      <c r="H112" s="148"/>
      <c r="I112" s="90"/>
      <c r="J112" s="148"/>
      <c r="K112" s="90"/>
      <c r="L112" s="148"/>
      <c r="M112" s="100"/>
      <c r="N112" s="148"/>
      <c r="O112" s="90"/>
      <c r="P112" s="90"/>
      <c r="Q112" s="90"/>
      <c r="R112" s="148"/>
      <c r="S112" s="89">
        <f>D112</f>
        <v>2.782</v>
      </c>
      <c r="T112" s="90"/>
      <c r="U112" s="92">
        <f>F112</f>
        <v>84265.095249999998</v>
      </c>
      <c r="V112" s="18">
        <f t="shared" si="18"/>
        <v>74153.282406992832</v>
      </c>
      <c r="W112" s="36">
        <f>U112-V112</f>
        <v>10111.812843007167</v>
      </c>
      <c r="X112" s="67"/>
      <c r="Y112" s="67"/>
      <c r="Z112" s="39"/>
      <c r="AA112" s="39"/>
      <c r="AB112" s="76"/>
    </row>
    <row r="113" spans="1:28" s="27" customFormat="1" ht="48.75" customHeight="1">
      <c r="A113" s="180" t="s">
        <v>83</v>
      </c>
      <c r="B113" s="180"/>
      <c r="C113" s="180"/>
      <c r="D113" s="107">
        <f>SUM(D109:D112)</f>
        <v>14.655000000000001</v>
      </c>
      <c r="E113" s="90"/>
      <c r="F113" s="148">
        <f>SUM(F109:F112)</f>
        <v>680309.84829999995</v>
      </c>
      <c r="G113" s="148"/>
      <c r="H113" s="148"/>
      <c r="I113" s="148">
        <f>SUM(I109)</f>
        <v>150000</v>
      </c>
      <c r="J113" s="148"/>
      <c r="K113" s="148">
        <f>SUM(K109)</f>
        <v>150000</v>
      </c>
      <c r="L113" s="148"/>
      <c r="M113" s="108">
        <f>SUM(M109:M112)</f>
        <v>2.226</v>
      </c>
      <c r="N113" s="148"/>
      <c r="O113" s="148">
        <f>SUM(O109:O112)</f>
        <v>294101.41707000002</v>
      </c>
      <c r="P113" s="148">
        <f>SUM(P109:P112)</f>
        <v>276455.32779336133</v>
      </c>
      <c r="Q113" s="148">
        <f>SUM(Q109:Q112)</f>
        <v>17646.089276638646</v>
      </c>
      <c r="R113" s="148"/>
      <c r="S113" s="109">
        <f>SUM(S111:S112)</f>
        <v>12.429</v>
      </c>
      <c r="T113" s="148"/>
      <c r="U113" s="91">
        <f>SUM(U111:U112)</f>
        <v>236208.43122999999</v>
      </c>
      <c r="V113" s="64">
        <f>SUM(V111:V112)</f>
        <v>207863.4155215167</v>
      </c>
      <c r="W113" s="30">
        <f>SUM(W111:W112)</f>
        <v>28345.015708483275</v>
      </c>
      <c r="X113" s="69"/>
      <c r="Y113" s="67"/>
      <c r="Z113" s="39"/>
      <c r="AA113" s="39"/>
      <c r="AB113" s="76"/>
    </row>
    <row r="114" spans="1:28" s="27" customFormat="1" ht="32.25" customHeight="1">
      <c r="A114" s="172" t="s">
        <v>177</v>
      </c>
      <c r="B114" s="173"/>
      <c r="C114" s="174"/>
      <c r="D114" s="102"/>
      <c r="E114" s="96"/>
      <c r="F114" s="148"/>
      <c r="G114" s="96"/>
      <c r="H114" s="148"/>
      <c r="I114" s="148"/>
      <c r="J114" s="148"/>
      <c r="K114" s="148"/>
      <c r="L114" s="148"/>
      <c r="M114" s="148"/>
      <c r="N114" s="96"/>
      <c r="O114" s="148"/>
      <c r="P114" s="148"/>
      <c r="Q114" s="148"/>
      <c r="R114" s="148"/>
      <c r="S114" s="148"/>
      <c r="T114" s="148"/>
      <c r="U114" s="91"/>
      <c r="V114" s="64"/>
      <c r="W114" s="30"/>
      <c r="X114" s="67"/>
      <c r="Y114" s="67"/>
      <c r="Z114" s="39"/>
      <c r="AA114" s="39"/>
      <c r="AB114" s="76"/>
    </row>
    <row r="115" spans="1:28" s="27" customFormat="1" ht="64.5" customHeight="1">
      <c r="A115" s="87">
        <v>44</v>
      </c>
      <c r="B115" s="106" t="s">
        <v>147</v>
      </c>
      <c r="C115" s="88" t="s">
        <v>22</v>
      </c>
      <c r="D115" s="102">
        <f>3.5+8.3</f>
        <v>11.8</v>
      </c>
      <c r="E115" s="96"/>
      <c r="F115" s="90">
        <f>O115+U115</f>
        <v>306859.12606000004</v>
      </c>
      <c r="G115" s="96"/>
      <c r="H115" s="148"/>
      <c r="I115" s="148"/>
      <c r="J115" s="148"/>
      <c r="K115" s="148"/>
      <c r="L115" s="148"/>
      <c r="M115" s="102">
        <v>3.5</v>
      </c>
      <c r="N115" s="96"/>
      <c r="O115" s="90">
        <v>90326.556140000001</v>
      </c>
      <c r="P115" s="90">
        <v>84906.961460000006</v>
      </c>
      <c r="Q115" s="90">
        <f>O115-P115</f>
        <v>5419.5946799999947</v>
      </c>
      <c r="R115" s="148"/>
      <c r="S115" s="102">
        <v>8.3000000000000007</v>
      </c>
      <c r="T115" s="148"/>
      <c r="U115" s="92">
        <v>216532.56992000001</v>
      </c>
      <c r="V115" s="18">
        <f t="shared" ref="V115" si="19">U115*0.879999983231406</f>
        <v>190548.65789865327</v>
      </c>
      <c r="W115" s="36">
        <f>U115-V115</f>
        <v>25983.912021346739</v>
      </c>
      <c r="X115" s="67"/>
      <c r="Y115" s="67"/>
      <c r="Z115" s="39"/>
      <c r="AA115" s="39"/>
      <c r="AB115" s="76"/>
    </row>
    <row r="116" spans="1:28" s="27" customFormat="1" ht="46.5" hidden="1" customHeight="1">
      <c r="A116" s="87">
        <v>40</v>
      </c>
      <c r="B116" s="106" t="s">
        <v>84</v>
      </c>
      <c r="C116" s="88" t="s">
        <v>22</v>
      </c>
      <c r="D116" s="102"/>
      <c r="E116" s="96"/>
      <c r="F116" s="90"/>
      <c r="G116" s="96"/>
      <c r="H116" s="148"/>
      <c r="I116" s="148"/>
      <c r="J116" s="148"/>
      <c r="K116" s="148"/>
      <c r="L116" s="148"/>
      <c r="M116" s="102"/>
      <c r="N116" s="96"/>
      <c r="O116" s="90"/>
      <c r="P116" s="90"/>
      <c r="Q116" s="90"/>
      <c r="R116" s="148"/>
      <c r="S116" s="102"/>
      <c r="T116" s="96"/>
      <c r="U116" s="90"/>
      <c r="V116" s="18"/>
      <c r="W116" s="36"/>
      <c r="X116" s="67"/>
      <c r="Y116" s="67"/>
      <c r="Z116" s="39"/>
      <c r="AA116" s="39"/>
      <c r="AB116" s="76"/>
    </row>
    <row r="117" spans="1:28" s="27" customFormat="1" ht="53.25" customHeight="1">
      <c r="A117" s="181" t="s">
        <v>176</v>
      </c>
      <c r="B117" s="182"/>
      <c r="C117" s="183"/>
      <c r="D117" s="107">
        <f>SUM(D115:D116)</f>
        <v>11.8</v>
      </c>
      <c r="E117" s="90"/>
      <c r="F117" s="148">
        <f>SUM(F115:F116)</f>
        <v>306859.12606000004</v>
      </c>
      <c r="G117" s="148"/>
      <c r="H117" s="148"/>
      <c r="I117" s="148"/>
      <c r="J117" s="148"/>
      <c r="K117" s="148"/>
      <c r="L117" s="148"/>
      <c r="M117" s="107">
        <f>M115</f>
        <v>3.5</v>
      </c>
      <c r="N117" s="148"/>
      <c r="O117" s="148">
        <f>O115</f>
        <v>90326.556140000001</v>
      </c>
      <c r="P117" s="148">
        <f>P115</f>
        <v>84906.961460000006</v>
      </c>
      <c r="Q117" s="148">
        <f>Q115</f>
        <v>5419.5946799999947</v>
      </c>
      <c r="R117" s="148"/>
      <c r="S117" s="148">
        <f>S115</f>
        <v>8.3000000000000007</v>
      </c>
      <c r="T117" s="148"/>
      <c r="U117" s="91">
        <f>U115</f>
        <v>216532.56992000001</v>
      </c>
      <c r="V117" s="64">
        <f>V115</f>
        <v>190548.65789865327</v>
      </c>
      <c r="W117" s="30">
        <f>W115</f>
        <v>25983.912021346739</v>
      </c>
      <c r="X117" s="69"/>
      <c r="Y117" s="67"/>
      <c r="Z117" s="39"/>
      <c r="AA117" s="39"/>
      <c r="AB117" s="76"/>
    </row>
    <row r="118" spans="1:28" s="27" customFormat="1" ht="36.75" customHeight="1">
      <c r="A118" s="172" t="s">
        <v>178</v>
      </c>
      <c r="B118" s="173"/>
      <c r="C118" s="174"/>
      <c r="D118" s="100"/>
      <c r="E118" s="147"/>
      <c r="F118" s="148"/>
      <c r="G118" s="88"/>
      <c r="H118" s="90"/>
      <c r="I118" s="90"/>
      <c r="J118" s="90"/>
      <c r="K118" s="90"/>
      <c r="L118" s="90"/>
      <c r="M118" s="90"/>
      <c r="N118" s="88"/>
      <c r="O118" s="90"/>
      <c r="P118" s="90"/>
      <c r="Q118" s="90"/>
      <c r="R118" s="90"/>
      <c r="S118" s="90"/>
      <c r="T118" s="90"/>
      <c r="U118" s="92"/>
      <c r="V118" s="18"/>
      <c r="W118" s="36"/>
      <c r="X118" s="67"/>
      <c r="Y118" s="67"/>
      <c r="Z118" s="39"/>
      <c r="AA118" s="39"/>
      <c r="AB118" s="76"/>
    </row>
    <row r="119" spans="1:28" s="27" customFormat="1" ht="45" hidden="1" customHeight="1">
      <c r="A119" s="87">
        <v>41</v>
      </c>
      <c r="B119" s="106" t="s">
        <v>85</v>
      </c>
      <c r="C119" s="88" t="s">
        <v>22</v>
      </c>
      <c r="D119" s="100">
        <v>2.82</v>
      </c>
      <c r="E119" s="100"/>
      <c r="F119" s="90">
        <v>73334.083140000002</v>
      </c>
      <c r="G119" s="89">
        <f>D119</f>
        <v>2.82</v>
      </c>
      <c r="H119" s="90"/>
      <c r="I119" s="90">
        <f>F119</f>
        <v>73334.083140000002</v>
      </c>
      <c r="J119" s="90"/>
      <c r="K119" s="90">
        <f>I119</f>
        <v>73334.083140000002</v>
      </c>
      <c r="L119" s="90"/>
      <c r="M119" s="100"/>
      <c r="N119" s="89"/>
      <c r="O119" s="90"/>
      <c r="P119" s="90"/>
      <c r="Q119" s="90"/>
      <c r="R119" s="90"/>
      <c r="S119" s="90"/>
      <c r="T119" s="90"/>
      <c r="U119" s="92"/>
      <c r="V119" s="18"/>
      <c r="W119" s="36"/>
      <c r="X119" s="67"/>
      <c r="Y119" s="67"/>
      <c r="Z119" s="39"/>
      <c r="AA119" s="39"/>
      <c r="AB119" s="76"/>
    </row>
    <row r="120" spans="1:28" s="27" customFormat="1" ht="67.5" customHeight="1">
      <c r="A120" s="87">
        <v>45</v>
      </c>
      <c r="B120" s="106" t="s">
        <v>87</v>
      </c>
      <c r="C120" s="88" t="s">
        <v>22</v>
      </c>
      <c r="D120" s="100">
        <v>3.5</v>
      </c>
      <c r="E120" s="100"/>
      <c r="F120" s="90">
        <v>84438</v>
      </c>
      <c r="G120" s="89"/>
      <c r="H120" s="90"/>
      <c r="I120" s="90"/>
      <c r="J120" s="90"/>
      <c r="K120" s="90"/>
      <c r="L120" s="90"/>
      <c r="M120" s="100">
        <f>D120</f>
        <v>3.5</v>
      </c>
      <c r="N120" s="89"/>
      <c r="O120" s="90">
        <f>F120</f>
        <v>84438</v>
      </c>
      <c r="P120" s="90">
        <v>79371.718779999996</v>
      </c>
      <c r="Q120" s="90">
        <f>O120-P120</f>
        <v>5066.2812200000044</v>
      </c>
      <c r="R120" s="90"/>
      <c r="S120" s="90"/>
      <c r="T120" s="90"/>
      <c r="U120" s="92"/>
      <c r="V120" s="18"/>
      <c r="W120" s="36"/>
      <c r="X120" s="67"/>
      <c r="Y120" s="67"/>
      <c r="Z120" s="39"/>
      <c r="AA120" s="39"/>
      <c r="AB120" s="76"/>
    </row>
    <row r="121" spans="1:28" s="27" customFormat="1" ht="68.25" customHeight="1">
      <c r="A121" s="87">
        <v>46</v>
      </c>
      <c r="B121" s="106" t="s">
        <v>130</v>
      </c>
      <c r="C121" s="88" t="s">
        <v>22</v>
      </c>
      <c r="D121" s="100">
        <v>6.25</v>
      </c>
      <c r="E121" s="100"/>
      <c r="F121" s="90">
        <v>154884.05856999999</v>
      </c>
      <c r="G121" s="89"/>
      <c r="H121" s="90"/>
      <c r="I121" s="90"/>
      <c r="J121" s="90"/>
      <c r="K121" s="90" t="s">
        <v>86</v>
      </c>
      <c r="L121" s="90"/>
      <c r="M121" s="100"/>
      <c r="N121" s="89"/>
      <c r="O121" s="90"/>
      <c r="P121" s="90"/>
      <c r="Q121" s="90"/>
      <c r="R121" s="90"/>
      <c r="S121" s="89">
        <f>D121</f>
        <v>6.25</v>
      </c>
      <c r="T121" s="90"/>
      <c r="U121" s="92">
        <f>F121</f>
        <v>154884.05856999999</v>
      </c>
      <c r="V121" s="18">
        <f t="shared" ref="V121" si="20">U121*0.879999983231406</f>
        <v>136297.9689444121</v>
      </c>
      <c r="W121" s="36">
        <f>U121-V121</f>
        <v>18586.089625587891</v>
      </c>
      <c r="X121" s="67"/>
      <c r="Y121" s="67"/>
      <c r="Z121" s="39"/>
      <c r="AA121" s="39"/>
      <c r="AB121" s="76"/>
    </row>
    <row r="122" spans="1:28" s="27" customFormat="1" ht="29.25" customHeight="1">
      <c r="A122" s="181" t="s">
        <v>179</v>
      </c>
      <c r="B122" s="182"/>
      <c r="C122" s="183"/>
      <c r="D122" s="96">
        <f>D120+D121</f>
        <v>9.75</v>
      </c>
      <c r="E122" s="90"/>
      <c r="F122" s="148">
        <f>F120+F121</f>
        <v>239322.05856999999</v>
      </c>
      <c r="G122" s="96">
        <f>SUM(G119:G119)</f>
        <v>2.82</v>
      </c>
      <c r="H122" s="148">
        <f>SUM(H119:H119)</f>
        <v>0</v>
      </c>
      <c r="I122" s="148">
        <f>SUM(I119:I119)</f>
        <v>73334.083140000002</v>
      </c>
      <c r="J122" s="148"/>
      <c r="K122" s="148">
        <f>SUM(K119:K119)</f>
        <v>73334.083140000002</v>
      </c>
      <c r="L122" s="148"/>
      <c r="M122" s="148">
        <f>M120</f>
        <v>3.5</v>
      </c>
      <c r="N122" s="96"/>
      <c r="O122" s="148">
        <f>O120</f>
        <v>84438</v>
      </c>
      <c r="P122" s="148">
        <f>P120</f>
        <v>79371.718779999996</v>
      </c>
      <c r="Q122" s="148">
        <f>Q120</f>
        <v>5066.2812200000044</v>
      </c>
      <c r="R122" s="148"/>
      <c r="S122" s="148">
        <f>SUM(S121:S121)</f>
        <v>6.25</v>
      </c>
      <c r="T122" s="148"/>
      <c r="U122" s="91">
        <f>SUM(U121:U121)</f>
        <v>154884.05856999999</v>
      </c>
      <c r="V122" s="64">
        <f>SUM(V121:V121)</f>
        <v>136297.9689444121</v>
      </c>
      <c r="W122" s="30">
        <f>SUM(W121:W121)</f>
        <v>18586.089625587891</v>
      </c>
      <c r="X122" s="69"/>
      <c r="Y122" s="67"/>
      <c r="Z122" s="39"/>
      <c r="AA122" s="39"/>
      <c r="AB122" s="76"/>
    </row>
    <row r="123" spans="1:28" s="27" customFormat="1" ht="28.5" customHeight="1">
      <c r="A123" s="172" t="s">
        <v>180</v>
      </c>
      <c r="B123" s="173"/>
      <c r="C123" s="174"/>
      <c r="D123" s="102"/>
      <c r="E123" s="96"/>
      <c r="F123" s="148"/>
      <c r="G123" s="96"/>
      <c r="H123" s="148"/>
      <c r="I123" s="148"/>
      <c r="J123" s="148"/>
      <c r="K123" s="148"/>
      <c r="L123" s="148"/>
      <c r="M123" s="148"/>
      <c r="N123" s="96"/>
      <c r="O123" s="148"/>
      <c r="P123" s="148"/>
      <c r="Q123" s="148"/>
      <c r="R123" s="148"/>
      <c r="S123" s="148"/>
      <c r="T123" s="148"/>
      <c r="U123" s="91"/>
      <c r="V123" s="64"/>
      <c r="W123" s="30"/>
      <c r="X123" s="67"/>
      <c r="Y123" s="67"/>
      <c r="Z123" s="39"/>
      <c r="AA123" s="39"/>
      <c r="AB123" s="76"/>
    </row>
    <row r="124" spans="1:28" s="27" customFormat="1" ht="45.75" customHeight="1">
      <c r="A124" s="87">
        <v>47</v>
      </c>
      <c r="B124" s="106" t="s">
        <v>88</v>
      </c>
      <c r="C124" s="88" t="s">
        <v>22</v>
      </c>
      <c r="D124" s="102">
        <f>38.268-32.25</f>
        <v>6.0180000000000007</v>
      </c>
      <c r="E124" s="95"/>
      <c r="F124" s="90">
        <v>177923.18470000001</v>
      </c>
      <c r="G124" s="96"/>
      <c r="H124" s="148"/>
      <c r="I124" s="148"/>
      <c r="J124" s="148"/>
      <c r="K124" s="148"/>
      <c r="L124" s="148"/>
      <c r="M124" s="102">
        <f>D124</f>
        <v>6.0180000000000007</v>
      </c>
      <c r="N124" s="96"/>
      <c r="O124" s="90">
        <f>F124</f>
        <v>177923.18470000001</v>
      </c>
      <c r="P124" s="90">
        <v>167247.79104000001</v>
      </c>
      <c r="Q124" s="90">
        <f>O124-P124</f>
        <v>10675.393660000002</v>
      </c>
      <c r="R124" s="148"/>
      <c r="S124" s="148"/>
      <c r="T124" s="148"/>
      <c r="U124" s="91"/>
      <c r="V124" s="64"/>
      <c r="W124" s="30"/>
      <c r="X124" s="67"/>
      <c r="Y124" s="67"/>
      <c r="Z124" s="39"/>
      <c r="AA124" s="39"/>
      <c r="AB124" s="76"/>
    </row>
    <row r="125" spans="1:28" s="27" customFormat="1" ht="47.25" customHeight="1">
      <c r="A125" s="87">
        <v>48</v>
      </c>
      <c r="B125" s="106" t="s">
        <v>89</v>
      </c>
      <c r="C125" s="88" t="s">
        <v>22</v>
      </c>
      <c r="D125" s="102">
        <f>27-23.25</f>
        <v>3.75</v>
      </c>
      <c r="E125" s="95"/>
      <c r="F125" s="90">
        <v>94254.907399999996</v>
      </c>
      <c r="G125" s="96"/>
      <c r="H125" s="148"/>
      <c r="I125" s="148"/>
      <c r="J125" s="148"/>
      <c r="K125" s="148"/>
      <c r="L125" s="148"/>
      <c r="M125" s="102">
        <f>D125</f>
        <v>3.75</v>
      </c>
      <c r="N125" s="96"/>
      <c r="O125" s="90">
        <f>F125</f>
        <v>94254.907399999996</v>
      </c>
      <c r="P125" s="90">
        <v>88599.61159</v>
      </c>
      <c r="Q125" s="90">
        <f>O125-P125</f>
        <v>5655.295809999996</v>
      </c>
      <c r="R125" s="148"/>
      <c r="S125" s="148"/>
      <c r="T125" s="148"/>
      <c r="U125" s="91"/>
      <c r="V125" s="64"/>
      <c r="W125" s="30"/>
      <c r="X125" s="67"/>
      <c r="Y125" s="67"/>
      <c r="Z125" s="39"/>
      <c r="AA125" s="39"/>
      <c r="AB125" s="76"/>
    </row>
    <row r="126" spans="1:28" s="27" customFormat="1" ht="62.25" customHeight="1">
      <c r="A126" s="87">
        <v>49</v>
      </c>
      <c r="B126" s="106" t="s">
        <v>126</v>
      </c>
      <c r="C126" s="88" t="s">
        <v>22</v>
      </c>
      <c r="D126" s="102">
        <v>3.5</v>
      </c>
      <c r="E126" s="95"/>
      <c r="F126" s="90">
        <v>98095.251010000007</v>
      </c>
      <c r="G126" s="96"/>
      <c r="H126" s="148"/>
      <c r="I126" s="148"/>
      <c r="J126" s="148"/>
      <c r="K126" s="148"/>
      <c r="L126" s="148"/>
      <c r="M126" s="102"/>
      <c r="N126" s="96"/>
      <c r="O126" s="90"/>
      <c r="P126" s="90"/>
      <c r="Q126" s="90"/>
      <c r="R126" s="148"/>
      <c r="S126" s="89">
        <f>D126</f>
        <v>3.5</v>
      </c>
      <c r="T126" s="90"/>
      <c r="U126" s="92">
        <f>F126</f>
        <v>98095.251010000007</v>
      </c>
      <c r="V126" s="18">
        <f t="shared" ref="V126:V127" si="21">U126*0.879999983231406</f>
        <v>86323.819243880571</v>
      </c>
      <c r="W126" s="36">
        <f>U126-V126</f>
        <v>11771.431766119436</v>
      </c>
      <c r="X126" s="67"/>
      <c r="Y126" s="67"/>
      <c r="Z126" s="39"/>
      <c r="AA126" s="39"/>
      <c r="AB126" s="76"/>
    </row>
    <row r="127" spans="1:28" s="27" customFormat="1" ht="48" customHeight="1">
      <c r="A127" s="87">
        <v>50</v>
      </c>
      <c r="B127" s="106" t="s">
        <v>127</v>
      </c>
      <c r="C127" s="88" t="s">
        <v>22</v>
      </c>
      <c r="D127" s="102">
        <v>2.9</v>
      </c>
      <c r="E127" s="95"/>
      <c r="F127" s="90">
        <v>76985.267479999995</v>
      </c>
      <c r="G127" s="96"/>
      <c r="H127" s="148"/>
      <c r="I127" s="148"/>
      <c r="J127" s="148"/>
      <c r="K127" s="148"/>
      <c r="L127" s="148"/>
      <c r="M127" s="102"/>
      <c r="N127" s="96"/>
      <c r="O127" s="90"/>
      <c r="P127" s="90"/>
      <c r="Q127" s="90"/>
      <c r="R127" s="148"/>
      <c r="S127" s="89">
        <f>D127</f>
        <v>2.9</v>
      </c>
      <c r="T127" s="90"/>
      <c r="U127" s="92">
        <f>F127</f>
        <v>76985.267479999995</v>
      </c>
      <c r="V127" s="18">
        <f t="shared" si="21"/>
        <v>67747.034091465306</v>
      </c>
      <c r="W127" s="36">
        <f>U127-V127</f>
        <v>9238.2333885346889</v>
      </c>
      <c r="X127" s="67"/>
      <c r="Y127" s="67"/>
      <c r="Z127" s="39"/>
      <c r="AA127" s="39"/>
      <c r="AB127" s="76"/>
    </row>
    <row r="128" spans="1:28" s="27" customFormat="1" ht="30" customHeight="1">
      <c r="A128" s="181" t="s">
        <v>181</v>
      </c>
      <c r="B128" s="182"/>
      <c r="C128" s="183"/>
      <c r="D128" s="96">
        <f>SUM(D124:D127)</f>
        <v>16.167999999999999</v>
      </c>
      <c r="E128" s="90"/>
      <c r="F128" s="148">
        <f>SUM(F124:F127)</f>
        <v>447258.61059</v>
      </c>
      <c r="G128" s="96"/>
      <c r="H128" s="148"/>
      <c r="I128" s="148"/>
      <c r="J128" s="148"/>
      <c r="K128" s="148"/>
      <c r="L128" s="148"/>
      <c r="M128" s="96">
        <f>SUM(M124:M125)</f>
        <v>9.7680000000000007</v>
      </c>
      <c r="N128" s="96"/>
      <c r="O128" s="148">
        <f>SUM(O124:O125)</f>
        <v>272178.09210000001</v>
      </c>
      <c r="P128" s="148">
        <f>SUM(P124:P125)</f>
        <v>255847.40263000003</v>
      </c>
      <c r="Q128" s="148">
        <f>SUM(Q124:Q125)</f>
        <v>16330.689469999998</v>
      </c>
      <c r="R128" s="148"/>
      <c r="S128" s="148">
        <f>SUM(S126:S127)</f>
        <v>6.4</v>
      </c>
      <c r="T128" s="148"/>
      <c r="U128" s="91">
        <f>SUM(U126:U127)</f>
        <v>175080.51848999999</v>
      </c>
      <c r="V128" s="64">
        <f>SUM(V126:V127)</f>
        <v>154070.85333534586</v>
      </c>
      <c r="W128" s="30">
        <f>SUM(W126:W127)</f>
        <v>21009.665154654125</v>
      </c>
      <c r="X128" s="69"/>
      <c r="Y128" s="67"/>
      <c r="Z128" s="39"/>
      <c r="AA128" s="39"/>
      <c r="AB128" s="76"/>
    </row>
    <row r="129" spans="1:29" s="27" customFormat="1" ht="33.75" customHeight="1">
      <c r="A129" s="172" t="s">
        <v>90</v>
      </c>
      <c r="B129" s="173"/>
      <c r="C129" s="174"/>
      <c r="D129" s="100"/>
      <c r="E129" s="147"/>
      <c r="F129" s="148"/>
      <c r="G129" s="88"/>
      <c r="H129" s="90"/>
      <c r="I129" s="90"/>
      <c r="J129" s="90"/>
      <c r="K129" s="90"/>
      <c r="L129" s="90"/>
      <c r="M129" s="90"/>
      <c r="N129" s="88"/>
      <c r="O129" s="90"/>
      <c r="P129" s="90"/>
      <c r="Q129" s="90"/>
      <c r="R129" s="90"/>
      <c r="S129" s="90"/>
      <c r="T129" s="90"/>
      <c r="U129" s="92"/>
      <c r="V129" s="18"/>
      <c r="W129" s="36"/>
      <c r="X129" s="67"/>
      <c r="Y129" s="67"/>
      <c r="Z129" s="39"/>
      <c r="AA129" s="39"/>
      <c r="AB129" s="76"/>
    </row>
    <row r="130" spans="1:29" s="27" customFormat="1" ht="51" hidden="1" customHeight="1">
      <c r="A130" s="87">
        <v>48</v>
      </c>
      <c r="B130" s="106" t="s">
        <v>91</v>
      </c>
      <c r="C130" s="88" t="s">
        <v>22</v>
      </c>
      <c r="D130" s="100">
        <f>8.63-1.82</f>
        <v>6.8100000000000005</v>
      </c>
      <c r="E130" s="100"/>
      <c r="F130" s="90">
        <v>163235.96216</v>
      </c>
      <c r="G130" s="89">
        <f>D130</f>
        <v>6.8100000000000005</v>
      </c>
      <c r="H130" s="90"/>
      <c r="I130" s="90">
        <f>F130</f>
        <v>163235.96216</v>
      </c>
      <c r="J130" s="90"/>
      <c r="K130" s="90">
        <f>I130</f>
        <v>163235.96216</v>
      </c>
      <c r="L130" s="90"/>
      <c r="M130" s="90"/>
      <c r="N130" s="89"/>
      <c r="O130" s="101"/>
      <c r="P130" s="101"/>
      <c r="Q130" s="101"/>
      <c r="R130" s="101"/>
      <c r="S130" s="101"/>
      <c r="T130" s="90"/>
      <c r="U130" s="92"/>
      <c r="V130" s="18"/>
      <c r="W130" s="36"/>
      <c r="X130" s="67"/>
      <c r="Y130" s="67"/>
      <c r="Z130" s="39"/>
      <c r="AA130" s="39"/>
      <c r="AB130" s="76"/>
    </row>
    <row r="131" spans="1:29" s="27" customFormat="1" ht="25.5" customHeight="1">
      <c r="A131" s="87">
        <v>51</v>
      </c>
      <c r="B131" s="106" t="s">
        <v>92</v>
      </c>
      <c r="C131" s="88" t="s">
        <v>22</v>
      </c>
      <c r="D131" s="100">
        <v>6</v>
      </c>
      <c r="E131" s="100"/>
      <c r="F131" s="90">
        <v>142640.61877</v>
      </c>
      <c r="G131" s="89"/>
      <c r="H131" s="90"/>
      <c r="I131" s="90"/>
      <c r="J131" s="90"/>
      <c r="K131" s="90"/>
      <c r="L131" s="90"/>
      <c r="M131" s="89">
        <v>6</v>
      </c>
      <c r="N131" s="89"/>
      <c r="O131" s="90">
        <f>F131</f>
        <v>142640.61877</v>
      </c>
      <c r="P131" s="90">
        <v>134082.17958</v>
      </c>
      <c r="Q131" s="90">
        <f>O131-P131</f>
        <v>8558.4391900000046</v>
      </c>
      <c r="R131" s="101"/>
      <c r="S131" s="101"/>
      <c r="T131" s="90"/>
      <c r="U131" s="92"/>
      <c r="V131" s="18"/>
      <c r="W131" s="36"/>
      <c r="X131" s="67"/>
      <c r="Y131" s="67"/>
      <c r="Z131" s="39"/>
      <c r="AA131" s="39"/>
      <c r="AB131" s="76"/>
    </row>
    <row r="132" spans="1:29" s="27" customFormat="1" ht="30.75" customHeight="1">
      <c r="A132" s="87">
        <v>52</v>
      </c>
      <c r="B132" s="106" t="s">
        <v>143</v>
      </c>
      <c r="C132" s="88" t="s">
        <v>33</v>
      </c>
      <c r="D132" s="100">
        <v>7.5149999999999997</v>
      </c>
      <c r="E132" s="100"/>
      <c r="F132" s="90">
        <v>140000</v>
      </c>
      <c r="G132" s="89"/>
      <c r="H132" s="90"/>
      <c r="I132" s="90"/>
      <c r="J132" s="90"/>
      <c r="K132" s="90"/>
      <c r="L132" s="90"/>
      <c r="M132" s="89">
        <f>D132</f>
        <v>7.5149999999999997</v>
      </c>
      <c r="N132" s="89"/>
      <c r="O132" s="90">
        <f>F132</f>
        <v>140000</v>
      </c>
      <c r="P132" s="90"/>
      <c r="Q132" s="90">
        <f>O132</f>
        <v>140000</v>
      </c>
      <c r="R132" s="101"/>
      <c r="S132" s="101"/>
      <c r="T132" s="90"/>
      <c r="U132" s="92"/>
      <c r="V132" s="18"/>
      <c r="W132" s="36"/>
      <c r="X132" s="67"/>
      <c r="Y132" s="67"/>
      <c r="Z132" s="39"/>
      <c r="AA132" s="39"/>
      <c r="AB132" s="76"/>
      <c r="AC132" s="31"/>
    </row>
    <row r="133" spans="1:29" s="27" customFormat="1" ht="36.75" customHeight="1">
      <c r="A133" s="87">
        <v>53</v>
      </c>
      <c r="B133" s="106" t="s">
        <v>93</v>
      </c>
      <c r="C133" s="88" t="s">
        <v>33</v>
      </c>
      <c r="D133" s="100">
        <v>6</v>
      </c>
      <c r="E133" s="100"/>
      <c r="F133" s="90">
        <v>365000</v>
      </c>
      <c r="G133" s="89"/>
      <c r="H133" s="90"/>
      <c r="I133" s="90"/>
      <c r="J133" s="90"/>
      <c r="K133" s="90"/>
      <c r="L133" s="90"/>
      <c r="M133" s="89"/>
      <c r="N133" s="89"/>
      <c r="O133" s="90"/>
      <c r="P133" s="90"/>
      <c r="Q133" s="90"/>
      <c r="R133" s="101"/>
      <c r="S133" s="89">
        <f>D133</f>
        <v>6</v>
      </c>
      <c r="T133" s="90"/>
      <c r="U133" s="92">
        <f>F133</f>
        <v>365000</v>
      </c>
      <c r="V133" s="18">
        <f t="shared" ref="V133:V134" si="22">U133*0.879999983231406</f>
        <v>321199.99387946323</v>
      </c>
      <c r="W133" s="36">
        <f>U133-V133</f>
        <v>43800.006120536767</v>
      </c>
      <c r="X133" s="67"/>
      <c r="Y133" s="67"/>
      <c r="Z133" s="39"/>
      <c r="AA133" s="39"/>
      <c r="AB133" s="76"/>
    </row>
    <row r="134" spans="1:29" s="27" customFormat="1" ht="45" customHeight="1">
      <c r="A134" s="87">
        <v>54</v>
      </c>
      <c r="B134" s="106" t="s">
        <v>144</v>
      </c>
      <c r="C134" s="88" t="s">
        <v>22</v>
      </c>
      <c r="D134" s="100">
        <v>6</v>
      </c>
      <c r="E134" s="100"/>
      <c r="F134" s="90">
        <v>175000</v>
      </c>
      <c r="G134" s="89"/>
      <c r="H134" s="90"/>
      <c r="I134" s="90"/>
      <c r="J134" s="90"/>
      <c r="K134" s="90"/>
      <c r="L134" s="90"/>
      <c r="M134" s="89"/>
      <c r="N134" s="89"/>
      <c r="O134" s="90"/>
      <c r="P134" s="90"/>
      <c r="Q134" s="90"/>
      <c r="R134" s="101"/>
      <c r="S134" s="89"/>
      <c r="T134" s="90"/>
      <c r="U134" s="92">
        <f>25000-15000+5000+1816.36062+2910.2225+2979.30906+1838.35371+5226.49402+5115.94143+4941.13105+2324.77167+7991.58263+3799.69545+3014.73252+7065.61016999999+1467.43008</f>
        <v>65491.634909999979</v>
      </c>
      <c r="V134" s="18">
        <f t="shared" si="22"/>
        <v>57632.637622597351</v>
      </c>
      <c r="W134" s="36">
        <f>U134-V134</f>
        <v>7858.997287402628</v>
      </c>
      <c r="X134" s="36">
        <f>D134</f>
        <v>6</v>
      </c>
      <c r="Y134" s="18"/>
      <c r="Z134" s="36">
        <f>F134-U134</f>
        <v>109508.36509000002</v>
      </c>
      <c r="AA134" s="18">
        <f>Z134*0.82</f>
        <v>89796.859373800005</v>
      </c>
      <c r="AB134" s="35">
        <f>Z134-AA134</f>
        <v>19711.505716200016</v>
      </c>
      <c r="AC134" s="137"/>
    </row>
    <row r="135" spans="1:29" s="27" customFormat="1" ht="30.75" customHeight="1">
      <c r="A135" s="97"/>
      <c r="B135" s="57" t="s">
        <v>42</v>
      </c>
      <c r="C135" s="88"/>
      <c r="D135" s="105">
        <f>D131+D132+D133+D134</f>
        <v>25.515000000000001</v>
      </c>
      <c r="E135" s="90"/>
      <c r="F135" s="90">
        <f>F131+F132+F133+F134</f>
        <v>822640.61877000006</v>
      </c>
      <c r="G135" s="90">
        <f>SUM(G130:G130)</f>
        <v>6.8100000000000005</v>
      </c>
      <c r="H135" s="90"/>
      <c r="I135" s="90">
        <f>SUM(I130:I130)</f>
        <v>163235.96216</v>
      </c>
      <c r="J135" s="90">
        <f>SUM(J130:J130)</f>
        <v>0</v>
      </c>
      <c r="K135" s="90">
        <f>SUM(K130:K130)</f>
        <v>163235.96216</v>
      </c>
      <c r="L135" s="90"/>
      <c r="M135" s="105">
        <f>SUM(M131:M133)</f>
        <v>13.515000000000001</v>
      </c>
      <c r="N135" s="100"/>
      <c r="O135" s="90">
        <f>SUM(O131:O133)</f>
        <v>282640.61877</v>
      </c>
      <c r="P135" s="90">
        <f>SUM(P131:P133)</f>
        <v>134082.17958</v>
      </c>
      <c r="Q135" s="90">
        <f>SUM(Q131:Q133)</f>
        <v>148558.43919</v>
      </c>
      <c r="R135" s="90"/>
      <c r="S135" s="90">
        <f>SUM(S133:S134)</f>
        <v>6</v>
      </c>
      <c r="T135" s="90"/>
      <c r="U135" s="92">
        <f>SUM(U133:U134)</f>
        <v>430491.63490999996</v>
      </c>
      <c r="V135" s="18">
        <f>SUM(V133:V134)</f>
        <v>378832.63150206057</v>
      </c>
      <c r="W135" s="36">
        <f>SUM(W133:W134)</f>
        <v>51659.003407939395</v>
      </c>
      <c r="X135" s="36">
        <f>X134</f>
        <v>6</v>
      </c>
      <c r="Y135" s="18"/>
      <c r="Z135" s="36">
        <f>Z134</f>
        <v>109508.36509000002</v>
      </c>
      <c r="AA135" s="71">
        <f>AA134</f>
        <v>89796.859373800005</v>
      </c>
      <c r="AB135" s="78">
        <f>AB134</f>
        <v>19711.505716200016</v>
      </c>
    </row>
    <row r="136" spans="1:29" s="27" customFormat="1" ht="27.75" customHeight="1">
      <c r="A136" s="97"/>
      <c r="B136" s="57" t="s">
        <v>43</v>
      </c>
      <c r="C136" s="88"/>
      <c r="D136" s="95">
        <f>M136</f>
        <v>4.5659999999999998</v>
      </c>
      <c r="E136" s="95"/>
      <c r="F136" s="90">
        <f>O136</f>
        <v>75865.899999999994</v>
      </c>
      <c r="G136" s="90">
        <v>7.4320000000000004</v>
      </c>
      <c r="H136" s="90"/>
      <c r="I136" s="90">
        <v>248931</v>
      </c>
      <c r="J136" s="90"/>
      <c r="K136" s="90">
        <f>I136</f>
        <v>248931</v>
      </c>
      <c r="L136" s="90"/>
      <c r="M136" s="105">
        <v>4.5659999999999998</v>
      </c>
      <c r="N136" s="100"/>
      <c r="O136" s="90">
        <v>75865.899999999994</v>
      </c>
      <c r="P136" s="90"/>
      <c r="Q136" s="90">
        <f>O136</f>
        <v>75865.899999999994</v>
      </c>
      <c r="R136" s="90"/>
      <c r="S136" s="90"/>
      <c r="T136" s="90"/>
      <c r="U136" s="92"/>
      <c r="V136" s="18"/>
      <c r="W136" s="36"/>
      <c r="X136" s="67"/>
      <c r="Y136" s="67"/>
      <c r="Z136" s="39"/>
      <c r="AA136" s="39"/>
      <c r="AB136" s="76"/>
    </row>
    <row r="137" spans="1:29" s="27" customFormat="1" ht="32.25" customHeight="1">
      <c r="A137" s="187" t="s">
        <v>94</v>
      </c>
      <c r="B137" s="188"/>
      <c r="C137" s="189"/>
      <c r="D137" s="148">
        <f>SUM(D135:D136)</f>
        <v>30.081</v>
      </c>
      <c r="E137" s="148"/>
      <c r="F137" s="148">
        <f>SUM(F135:F136)</f>
        <v>898506.51877000008</v>
      </c>
      <c r="G137" s="148">
        <f>SUM(G135:G136)</f>
        <v>14.242000000000001</v>
      </c>
      <c r="H137" s="148"/>
      <c r="I137" s="148">
        <f>SUM(I135:I136)</f>
        <v>412166.96216</v>
      </c>
      <c r="J137" s="148">
        <f>SUM(J135:J136)</f>
        <v>0</v>
      </c>
      <c r="K137" s="148">
        <f>SUM(K135:K136)</f>
        <v>412166.96216</v>
      </c>
      <c r="L137" s="148"/>
      <c r="M137" s="148">
        <f>SUM(M135:M136)</f>
        <v>18.081</v>
      </c>
      <c r="N137" s="148"/>
      <c r="O137" s="148">
        <f>SUM(O135:O136)</f>
        <v>358506.51876999997</v>
      </c>
      <c r="P137" s="148">
        <f>SUM(P135:P136)</f>
        <v>134082.17958</v>
      </c>
      <c r="Q137" s="148">
        <f>SUM(Q135:Q136)</f>
        <v>224424.33919</v>
      </c>
      <c r="R137" s="148"/>
      <c r="S137" s="148">
        <f>SUM(S135:S136)</f>
        <v>6</v>
      </c>
      <c r="T137" s="148"/>
      <c r="U137" s="148">
        <f>SUM(U135:U136)</f>
        <v>430491.63490999996</v>
      </c>
      <c r="V137" s="64">
        <f>SUM(V135:V136)</f>
        <v>378832.63150206057</v>
      </c>
      <c r="W137" s="30">
        <f>SUM(W135:W136)</f>
        <v>51659.003407939395</v>
      </c>
      <c r="X137" s="64">
        <f>SUM(X135:X136)</f>
        <v>6</v>
      </c>
      <c r="Y137" s="64"/>
      <c r="Z137" s="64">
        <f>SUM(Z135:Z136)</f>
        <v>109508.36509000002</v>
      </c>
      <c r="AA137" s="64">
        <f>SUM(AA135:AA136)</f>
        <v>89796.859373800005</v>
      </c>
      <c r="AB137" s="14">
        <f>SUM(AB135:AB136)</f>
        <v>19711.505716200016</v>
      </c>
    </row>
    <row r="138" spans="1:29" s="27" customFormat="1" ht="33.75" customHeight="1">
      <c r="A138" s="172" t="s">
        <v>182</v>
      </c>
      <c r="B138" s="173"/>
      <c r="C138" s="174"/>
      <c r="D138" s="100"/>
      <c r="E138" s="148"/>
      <c r="F138" s="148"/>
      <c r="G138" s="148"/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148"/>
      <c r="S138" s="148"/>
      <c r="T138" s="148"/>
      <c r="U138" s="91"/>
      <c r="V138" s="64"/>
      <c r="W138" s="30"/>
      <c r="X138" s="67"/>
      <c r="Y138" s="67"/>
      <c r="Z138" s="39"/>
      <c r="AA138" s="39"/>
      <c r="AB138" s="76"/>
    </row>
    <row r="139" spans="1:29" s="27" customFormat="1" ht="55.5" customHeight="1">
      <c r="A139" s="87">
        <v>55</v>
      </c>
      <c r="B139" s="106" t="s">
        <v>95</v>
      </c>
      <c r="C139" s="88" t="s">
        <v>22</v>
      </c>
      <c r="D139" s="100">
        <v>3.8</v>
      </c>
      <c r="E139" s="148"/>
      <c r="F139" s="90">
        <v>91396.939280000006</v>
      </c>
      <c r="G139" s="148"/>
      <c r="H139" s="148"/>
      <c r="I139" s="148"/>
      <c r="J139" s="148"/>
      <c r="K139" s="148"/>
      <c r="L139" s="148"/>
      <c r="M139" s="89">
        <f>D139</f>
        <v>3.8</v>
      </c>
      <c r="N139" s="148"/>
      <c r="O139" s="90">
        <f>F139</f>
        <v>91396.939280000006</v>
      </c>
      <c r="P139" s="90">
        <v>85913.121599999999</v>
      </c>
      <c r="Q139" s="90">
        <f>O139-P139</f>
        <v>5483.8176800000074</v>
      </c>
      <c r="R139" s="148"/>
      <c r="S139" s="148"/>
      <c r="T139" s="148"/>
      <c r="U139" s="91"/>
      <c r="V139" s="64"/>
      <c r="W139" s="30"/>
      <c r="X139" s="67"/>
      <c r="Y139" s="67"/>
      <c r="Z139" s="39"/>
      <c r="AA139" s="39"/>
      <c r="AB139" s="76"/>
    </row>
    <row r="140" spans="1:29" s="27" customFormat="1" ht="45.75" customHeight="1">
      <c r="A140" s="87">
        <v>56</v>
      </c>
      <c r="B140" s="106" t="s">
        <v>96</v>
      </c>
      <c r="C140" s="88" t="s">
        <v>22</v>
      </c>
      <c r="D140" s="89">
        <v>5</v>
      </c>
      <c r="E140" s="148"/>
      <c r="F140" s="90">
        <v>119407.55494</v>
      </c>
      <c r="G140" s="148"/>
      <c r="H140" s="148"/>
      <c r="I140" s="148"/>
      <c r="J140" s="148"/>
      <c r="K140" s="148"/>
      <c r="L140" s="148"/>
      <c r="M140" s="89">
        <f>D140</f>
        <v>5</v>
      </c>
      <c r="N140" s="148"/>
      <c r="O140" s="90">
        <f>F140</f>
        <v>119407.55494</v>
      </c>
      <c r="P140" s="90">
        <v>112243.09991999999</v>
      </c>
      <c r="Q140" s="90">
        <f>O140-P140</f>
        <v>7164.4550200000085</v>
      </c>
      <c r="R140" s="148"/>
      <c r="S140" s="148"/>
      <c r="T140" s="148"/>
      <c r="U140" s="91" t="s">
        <v>50</v>
      </c>
      <c r="V140" s="64"/>
      <c r="W140" s="30"/>
      <c r="X140" s="67"/>
      <c r="Y140" s="67"/>
      <c r="Z140" s="39"/>
      <c r="AA140" s="39"/>
      <c r="AB140" s="76"/>
    </row>
    <row r="141" spans="1:29" s="27" customFormat="1" ht="35.25" customHeight="1">
      <c r="A141" s="87">
        <v>57</v>
      </c>
      <c r="B141" s="111" t="s">
        <v>128</v>
      </c>
      <c r="C141" s="88" t="s">
        <v>22</v>
      </c>
      <c r="D141" s="89">
        <v>2.8</v>
      </c>
      <c r="E141" s="112"/>
      <c r="F141" s="98">
        <v>93508.410730000003</v>
      </c>
      <c r="G141" s="148"/>
      <c r="H141" s="148"/>
      <c r="I141" s="148"/>
      <c r="J141" s="148"/>
      <c r="K141" s="148"/>
      <c r="L141" s="148"/>
      <c r="M141" s="89"/>
      <c r="N141" s="148"/>
      <c r="O141" s="90"/>
      <c r="P141" s="90"/>
      <c r="Q141" s="90"/>
      <c r="R141" s="148"/>
      <c r="S141" s="89">
        <f>D141</f>
        <v>2.8</v>
      </c>
      <c r="T141" s="90"/>
      <c r="U141" s="92">
        <f>F141</f>
        <v>93508.410730000003</v>
      </c>
      <c r="V141" s="18">
        <f t="shared" ref="V141" si="23">U141*0.879999983231406</f>
        <v>82287.399874395429</v>
      </c>
      <c r="W141" s="36">
        <f>U141-V141</f>
        <v>11221.010855604574</v>
      </c>
      <c r="X141" s="67"/>
      <c r="Y141" s="67"/>
      <c r="Z141" s="39"/>
      <c r="AA141" s="39"/>
      <c r="AB141" s="76"/>
    </row>
    <row r="142" spans="1:29" s="27" customFormat="1" ht="31.5" customHeight="1">
      <c r="A142" s="181" t="s">
        <v>183</v>
      </c>
      <c r="B142" s="182"/>
      <c r="C142" s="183"/>
      <c r="D142" s="107">
        <f>SUM(D139:D141)</f>
        <v>11.600000000000001</v>
      </c>
      <c r="E142" s="90"/>
      <c r="F142" s="148">
        <f>SUM(F139:F141)</f>
        <v>304312.90495</v>
      </c>
      <c r="G142" s="148"/>
      <c r="H142" s="148"/>
      <c r="I142" s="148"/>
      <c r="J142" s="148"/>
      <c r="K142" s="148"/>
      <c r="L142" s="148"/>
      <c r="M142" s="107">
        <f>SUM(M139:M140)</f>
        <v>8.8000000000000007</v>
      </c>
      <c r="N142" s="148"/>
      <c r="O142" s="148">
        <f>SUM(O139:O140)</f>
        <v>210804.49421999999</v>
      </c>
      <c r="P142" s="148">
        <f>SUM(P139:P140)</f>
        <v>198156.22151999999</v>
      </c>
      <c r="Q142" s="148">
        <f>SUM(Q139:Q140)</f>
        <v>12648.272700000016</v>
      </c>
      <c r="R142" s="148"/>
      <c r="S142" s="148">
        <f>SUM(S141)</f>
        <v>2.8</v>
      </c>
      <c r="T142" s="148"/>
      <c r="U142" s="91">
        <f>SUM(U141)</f>
        <v>93508.410730000003</v>
      </c>
      <c r="V142" s="64">
        <f>SUM(V141)</f>
        <v>82287.399874395429</v>
      </c>
      <c r="W142" s="30">
        <f>SUM(W141)</f>
        <v>11221.010855604574</v>
      </c>
      <c r="X142" s="69"/>
      <c r="Y142" s="67"/>
      <c r="Z142" s="39"/>
      <c r="AA142" s="39"/>
      <c r="AB142" s="76"/>
    </row>
    <row r="143" spans="1:29" s="27" customFormat="1" ht="36" customHeight="1">
      <c r="A143" s="172" t="s">
        <v>97</v>
      </c>
      <c r="B143" s="173"/>
      <c r="C143" s="174"/>
      <c r="D143" s="100"/>
      <c r="E143" s="147"/>
      <c r="F143" s="148"/>
      <c r="G143" s="88"/>
      <c r="H143" s="90"/>
      <c r="I143" s="90"/>
      <c r="J143" s="90"/>
      <c r="K143" s="90"/>
      <c r="L143" s="90"/>
      <c r="M143" s="90"/>
      <c r="N143" s="88"/>
      <c r="O143" s="90"/>
      <c r="P143" s="90"/>
      <c r="Q143" s="90"/>
      <c r="R143" s="90"/>
      <c r="S143" s="90"/>
      <c r="T143" s="90"/>
      <c r="U143" s="92"/>
      <c r="V143" s="18"/>
      <c r="W143" s="36"/>
      <c r="X143" s="67"/>
      <c r="Y143" s="67"/>
      <c r="Z143" s="39"/>
      <c r="AA143" s="39"/>
      <c r="AB143" s="76"/>
    </row>
    <row r="144" spans="1:29" s="27" customFormat="1" ht="45" hidden="1" customHeight="1">
      <c r="A144" s="87">
        <v>55</v>
      </c>
      <c r="B144" s="106" t="s">
        <v>98</v>
      </c>
      <c r="C144" s="88" t="s">
        <v>22</v>
      </c>
      <c r="D144" s="100">
        <v>8.32</v>
      </c>
      <c r="E144" s="100"/>
      <c r="F144" s="90">
        <v>203076.71726999999</v>
      </c>
      <c r="G144" s="89">
        <f>D144</f>
        <v>8.32</v>
      </c>
      <c r="H144" s="90"/>
      <c r="I144" s="90">
        <f>F144</f>
        <v>203076.71726999999</v>
      </c>
      <c r="J144" s="90"/>
      <c r="K144" s="90">
        <f>I144</f>
        <v>203076.71726999999</v>
      </c>
      <c r="L144" s="90"/>
      <c r="M144" s="100"/>
      <c r="N144" s="89"/>
      <c r="O144" s="90"/>
      <c r="P144" s="90"/>
      <c r="Q144" s="90"/>
      <c r="R144" s="90"/>
      <c r="S144" s="90"/>
      <c r="T144" s="90"/>
      <c r="U144" s="92"/>
      <c r="V144" s="18"/>
      <c r="W144" s="36"/>
      <c r="X144" s="67"/>
      <c r="Y144" s="67"/>
      <c r="Z144" s="39"/>
      <c r="AA144" s="39"/>
      <c r="AB144" s="76"/>
    </row>
    <row r="145" spans="1:31" s="27" customFormat="1" ht="45" customHeight="1">
      <c r="A145" s="87">
        <v>58</v>
      </c>
      <c r="B145" s="106" t="s">
        <v>138</v>
      </c>
      <c r="C145" s="88" t="s">
        <v>22</v>
      </c>
      <c r="D145" s="100">
        <f>18-12.914</f>
        <v>5.0860000000000003</v>
      </c>
      <c r="E145" s="100"/>
      <c r="F145" s="90">
        <f>135455.11674</f>
        <v>135455.11674</v>
      </c>
      <c r="G145" s="89"/>
      <c r="H145" s="90"/>
      <c r="I145" s="90"/>
      <c r="J145" s="90"/>
      <c r="K145" s="90"/>
      <c r="L145" s="90"/>
      <c r="M145" s="100">
        <f>D145</f>
        <v>5.0860000000000003</v>
      </c>
      <c r="N145" s="89"/>
      <c r="O145" s="90">
        <f>F145</f>
        <v>135455.11674</v>
      </c>
      <c r="P145" s="90">
        <f t="shared" ref="P145" si="24">O145*0.939999985532419</f>
        <v>127327.80777589213</v>
      </c>
      <c r="Q145" s="90">
        <f>O145-P145</f>
        <v>8127.3089641078695</v>
      </c>
      <c r="R145" s="90"/>
      <c r="S145" s="89"/>
      <c r="T145" s="90"/>
      <c r="U145" s="92"/>
      <c r="V145" s="36"/>
      <c r="W145" s="36"/>
      <c r="X145" s="67"/>
      <c r="Y145" s="67"/>
      <c r="Z145" s="39"/>
      <c r="AA145" s="39"/>
      <c r="AB145" s="76"/>
    </row>
    <row r="146" spans="1:31" s="27" customFormat="1" ht="34.5" customHeight="1">
      <c r="A146" s="97"/>
      <c r="B146" s="57" t="s">
        <v>43</v>
      </c>
      <c r="C146" s="88"/>
      <c r="D146" s="102">
        <f>M146</f>
        <v>3.5379999999999998</v>
      </c>
      <c r="E146" s="95"/>
      <c r="F146" s="90">
        <f>O146</f>
        <v>51970.1</v>
      </c>
      <c r="G146" s="90">
        <v>10.592000000000001</v>
      </c>
      <c r="H146" s="90"/>
      <c r="I146" s="90">
        <v>204675</v>
      </c>
      <c r="J146" s="90"/>
      <c r="K146" s="90">
        <f>I146</f>
        <v>204675</v>
      </c>
      <c r="L146" s="90"/>
      <c r="M146" s="100">
        <v>3.5379999999999998</v>
      </c>
      <c r="N146" s="89"/>
      <c r="O146" s="90">
        <v>51970.1</v>
      </c>
      <c r="P146" s="89"/>
      <c r="Q146" s="90">
        <f>O146</f>
        <v>51970.1</v>
      </c>
      <c r="R146" s="90"/>
      <c r="S146" s="90"/>
      <c r="T146" s="90"/>
      <c r="U146" s="92"/>
      <c r="V146" s="18"/>
      <c r="W146" s="36"/>
      <c r="X146" s="67"/>
      <c r="Y146" s="67"/>
      <c r="Z146" s="39"/>
      <c r="AA146" s="39"/>
      <c r="AB146" s="76"/>
    </row>
    <row r="147" spans="1:31" s="27" customFormat="1" ht="51.75" customHeight="1">
      <c r="A147" s="180" t="s">
        <v>99</v>
      </c>
      <c r="B147" s="180"/>
      <c r="C147" s="180"/>
      <c r="D147" s="96">
        <f>D145+D146</f>
        <v>8.6240000000000006</v>
      </c>
      <c r="E147" s="96"/>
      <c r="F147" s="148">
        <f>F145+F146</f>
        <v>187425.21674</v>
      </c>
      <c r="G147" s="96">
        <f>SUM(G144:G146)</f>
        <v>18.911999999999999</v>
      </c>
      <c r="H147" s="148"/>
      <c r="I147" s="148">
        <f>SUM(I144:I146)</f>
        <v>407751.71727000002</v>
      </c>
      <c r="J147" s="148"/>
      <c r="K147" s="148">
        <f>SUM(K144:K146)</f>
        <v>407751.71727000002</v>
      </c>
      <c r="L147" s="148"/>
      <c r="M147" s="148">
        <f>SUM(M145:M146)</f>
        <v>8.6240000000000006</v>
      </c>
      <c r="N147" s="96"/>
      <c r="O147" s="148">
        <f>SUM(O145:O146)</f>
        <v>187425.21674</v>
      </c>
      <c r="P147" s="148">
        <f>SUM(P145:P146)</f>
        <v>127327.80777589213</v>
      </c>
      <c r="Q147" s="148">
        <f>SUM(Q145:Q146)</f>
        <v>60097.408964107868</v>
      </c>
      <c r="R147" s="148"/>
      <c r="S147" s="148">
        <f>SUM(S145:S146)</f>
        <v>0</v>
      </c>
      <c r="T147" s="148" t="s">
        <v>50</v>
      </c>
      <c r="U147" s="91">
        <f>SUM(U145:U146)</f>
        <v>0</v>
      </c>
      <c r="V147" s="64">
        <f>SUM(V145:V146)</f>
        <v>0</v>
      </c>
      <c r="W147" s="30">
        <f>SUM(W145:W146)</f>
        <v>0</v>
      </c>
      <c r="X147" s="69"/>
      <c r="Y147" s="67"/>
      <c r="Z147" s="39"/>
      <c r="AA147" s="39"/>
      <c r="AB147" s="76"/>
    </row>
    <row r="148" spans="1:31" s="27" customFormat="1" ht="33" customHeight="1">
      <c r="A148" s="172" t="s">
        <v>100</v>
      </c>
      <c r="B148" s="173"/>
      <c r="C148" s="174"/>
      <c r="D148" s="100"/>
      <c r="E148" s="147"/>
      <c r="F148" s="148"/>
      <c r="G148" s="88"/>
      <c r="H148" s="90"/>
      <c r="I148" s="90"/>
      <c r="J148" s="90"/>
      <c r="K148" s="90"/>
      <c r="L148" s="90"/>
      <c r="M148" s="90"/>
      <c r="N148" s="88"/>
      <c r="O148" s="90"/>
      <c r="P148" s="90"/>
      <c r="Q148" s="90"/>
      <c r="R148" s="90"/>
      <c r="S148" s="90"/>
      <c r="T148" s="90"/>
      <c r="U148" s="92"/>
      <c r="V148" s="18"/>
      <c r="W148" s="36"/>
      <c r="X148" s="67"/>
      <c r="Y148" s="67"/>
      <c r="Z148" s="39"/>
      <c r="AA148" s="39"/>
      <c r="AB148" s="76"/>
    </row>
    <row r="149" spans="1:31" s="27" customFormat="1" ht="27.75" hidden="1" customHeight="1">
      <c r="A149" s="87">
        <v>57</v>
      </c>
      <c r="B149" s="106" t="s">
        <v>101</v>
      </c>
      <c r="C149" s="88" t="s">
        <v>22</v>
      </c>
      <c r="D149" s="100">
        <v>3.23</v>
      </c>
      <c r="E149" s="90"/>
      <c r="F149" s="90">
        <v>85329.787089999998</v>
      </c>
      <c r="G149" s="100">
        <f>D149</f>
        <v>3.23</v>
      </c>
      <c r="H149" s="90"/>
      <c r="I149" s="90">
        <f>F149</f>
        <v>85329.787089999998</v>
      </c>
      <c r="J149" s="90"/>
      <c r="K149" s="90">
        <f>I149</f>
        <v>85329.787089999998</v>
      </c>
      <c r="L149" s="90"/>
      <c r="M149" s="90"/>
      <c r="N149" s="88"/>
      <c r="O149" s="90"/>
      <c r="P149" s="90"/>
      <c r="Q149" s="90"/>
      <c r="R149" s="90"/>
      <c r="S149" s="90"/>
      <c r="T149" s="90"/>
      <c r="U149" s="92"/>
      <c r="V149" s="18"/>
      <c r="W149" s="36"/>
      <c r="X149" s="67"/>
      <c r="Y149" s="67"/>
      <c r="Z149" s="39"/>
      <c r="AA149" s="39"/>
      <c r="AB149" s="76"/>
    </row>
    <row r="150" spans="1:31" s="27" customFormat="1" ht="42" customHeight="1">
      <c r="A150" s="87">
        <v>59</v>
      </c>
      <c r="B150" s="106" t="s">
        <v>102</v>
      </c>
      <c r="C150" s="88" t="s">
        <v>37</v>
      </c>
      <c r="D150" s="100">
        <v>6.4</v>
      </c>
      <c r="E150" s="90"/>
      <c r="F150" s="90">
        <v>242590.80277000001</v>
      </c>
      <c r="G150" s="100"/>
      <c r="H150" s="90"/>
      <c r="I150" s="90"/>
      <c r="J150" s="90"/>
      <c r="K150" s="90"/>
      <c r="L150" s="90"/>
      <c r="M150" s="90"/>
      <c r="N150" s="88"/>
      <c r="O150" s="90"/>
      <c r="P150" s="90"/>
      <c r="Q150" s="90"/>
      <c r="R150" s="90"/>
      <c r="S150" s="89">
        <f>D150</f>
        <v>6.4</v>
      </c>
      <c r="T150" s="90"/>
      <c r="U150" s="92">
        <f>F150</f>
        <v>242590.80277000001</v>
      </c>
      <c r="V150" s="18">
        <f t="shared" ref="V150" si="25">U150*0.879999983231406</f>
        <v>213479.90236969333</v>
      </c>
      <c r="W150" s="36">
        <f>U150-V150</f>
        <v>29110.90040030668</v>
      </c>
      <c r="X150" s="67"/>
      <c r="Y150" s="67"/>
      <c r="Z150" s="39"/>
      <c r="AA150" s="39"/>
      <c r="AB150" s="76"/>
      <c r="AC150" s="27">
        <v>82697.600000000006</v>
      </c>
      <c r="AD150" s="31">
        <f>U150-AC150</f>
        <v>159893.20277</v>
      </c>
    </row>
    <row r="151" spans="1:31" s="27" customFormat="1" ht="54.75" customHeight="1">
      <c r="A151" s="87">
        <v>60</v>
      </c>
      <c r="B151" s="106" t="s">
        <v>186</v>
      </c>
      <c r="C151" s="88" t="s">
        <v>22</v>
      </c>
      <c r="D151" s="100">
        <v>5</v>
      </c>
      <c r="E151" s="90"/>
      <c r="F151" s="90">
        <f>D151*40000</f>
        <v>200000</v>
      </c>
      <c r="G151" s="100"/>
      <c r="H151" s="90"/>
      <c r="I151" s="90"/>
      <c r="J151" s="90"/>
      <c r="K151" s="90"/>
      <c r="L151" s="90"/>
      <c r="M151" s="90"/>
      <c r="N151" s="88"/>
      <c r="O151" s="90"/>
      <c r="P151" s="90"/>
      <c r="Q151" s="90"/>
      <c r="R151" s="90"/>
      <c r="S151" s="89"/>
      <c r="T151" s="90"/>
      <c r="U151" s="92"/>
      <c r="V151" s="18"/>
      <c r="W151" s="36"/>
      <c r="X151" s="89">
        <f>D151</f>
        <v>5</v>
      </c>
      <c r="Y151" s="67"/>
      <c r="Z151" s="18">
        <f>F151</f>
        <v>200000</v>
      </c>
      <c r="AA151" s="18">
        <f>Z151*0.82</f>
        <v>164000</v>
      </c>
      <c r="AB151" s="35">
        <f>Z151-AA151</f>
        <v>36000</v>
      </c>
      <c r="AD151" s="31"/>
    </row>
    <row r="152" spans="1:31" s="27" customFormat="1" ht="31.5" customHeight="1">
      <c r="A152" s="97"/>
      <c r="B152" s="57" t="s">
        <v>43</v>
      </c>
      <c r="C152" s="88"/>
      <c r="D152" s="95">
        <f>M152</f>
        <v>5.024</v>
      </c>
      <c r="E152" s="95"/>
      <c r="F152" s="90">
        <f>O152</f>
        <v>41958.2</v>
      </c>
      <c r="G152" s="90">
        <v>10.202</v>
      </c>
      <c r="H152" s="90"/>
      <c r="I152" s="90">
        <v>132500</v>
      </c>
      <c r="J152" s="90"/>
      <c r="K152" s="90">
        <f>I152</f>
        <v>132500</v>
      </c>
      <c r="L152" s="90"/>
      <c r="M152" s="90">
        <v>5.024</v>
      </c>
      <c r="N152" s="110"/>
      <c r="O152" s="90">
        <v>41958.2</v>
      </c>
      <c r="P152" s="90"/>
      <c r="Q152" s="90">
        <f>O152</f>
        <v>41958.2</v>
      </c>
      <c r="R152" s="90"/>
      <c r="S152" s="90"/>
      <c r="T152" s="90"/>
      <c r="U152" s="92"/>
      <c r="V152" s="18"/>
      <c r="W152" s="36"/>
      <c r="X152" s="67"/>
      <c r="Y152" s="67"/>
      <c r="Z152" s="39"/>
      <c r="AA152" s="39"/>
      <c r="AB152" s="76"/>
      <c r="AC152" s="27">
        <v>72773.899999999994</v>
      </c>
      <c r="AD152" s="31">
        <f>V150-AC152</f>
        <v>140706.00236969333</v>
      </c>
    </row>
    <row r="153" spans="1:31" s="27" customFormat="1" ht="33" customHeight="1">
      <c r="A153" s="180" t="s">
        <v>103</v>
      </c>
      <c r="B153" s="180"/>
      <c r="C153" s="180"/>
      <c r="D153" s="148">
        <f>D150+D151+D152</f>
        <v>16.423999999999999</v>
      </c>
      <c r="E153" s="148"/>
      <c r="F153" s="148">
        <f>F150+F151+F152</f>
        <v>484549.00277000002</v>
      </c>
      <c r="G153" s="148">
        <f>SUM(G149:G152)</f>
        <v>13.432</v>
      </c>
      <c r="H153" s="148"/>
      <c r="I153" s="148">
        <f>SUM(I149:I152)</f>
        <v>217829.78709</v>
      </c>
      <c r="J153" s="148">
        <f>SUM(J152:J152)</f>
        <v>0</v>
      </c>
      <c r="K153" s="148">
        <f>SUM(K149:K152)</f>
        <v>217829.78709</v>
      </c>
      <c r="L153" s="148"/>
      <c r="M153" s="148">
        <f>SUM(M149:M152)</f>
        <v>5.024</v>
      </c>
      <c r="N153" s="148"/>
      <c r="O153" s="148">
        <f>SUM(O149:O152)</f>
        <v>41958.2</v>
      </c>
      <c r="P153" s="148">
        <f>SUM(P149:P152)</f>
        <v>0</v>
      </c>
      <c r="Q153" s="148">
        <f>SUM(Q149:Q152)</f>
        <v>41958.2</v>
      </c>
      <c r="R153" s="148"/>
      <c r="S153" s="148">
        <f>SUM(S150:S152)</f>
        <v>6.4</v>
      </c>
      <c r="T153" s="148"/>
      <c r="U153" s="91">
        <f>SUM(U150:U152)</f>
        <v>242590.80277000001</v>
      </c>
      <c r="V153" s="64">
        <f>SUM(V150:V152)</f>
        <v>213479.90236969333</v>
      </c>
      <c r="W153" s="30">
        <f>SUM(W150:W152)</f>
        <v>29110.90040030668</v>
      </c>
      <c r="X153" s="151">
        <f>SUM(X151:X152)</f>
        <v>5</v>
      </c>
      <c r="Y153" s="91"/>
      <c r="Z153" s="64">
        <f>SUM(Z151:Z152)</f>
        <v>200000</v>
      </c>
      <c r="AA153" s="30">
        <f>SUM(AA151:AA152)</f>
        <v>164000</v>
      </c>
      <c r="AB153" s="30">
        <f>SUM(AB151:AB152)</f>
        <v>36000</v>
      </c>
    </row>
    <row r="154" spans="1:31" s="27" customFormat="1" ht="27" hidden="1" customHeight="1">
      <c r="A154" s="149"/>
      <c r="B154" s="113" t="s">
        <v>104</v>
      </c>
      <c r="C154" s="110"/>
      <c r="D154" s="102"/>
      <c r="E154" s="102"/>
      <c r="F154" s="90"/>
      <c r="G154" s="89"/>
      <c r="H154" s="101"/>
      <c r="I154" s="90"/>
      <c r="J154" s="90"/>
      <c r="K154" s="90"/>
      <c r="L154" s="90"/>
      <c r="M154" s="114"/>
      <c r="N154" s="90"/>
      <c r="O154" s="101"/>
      <c r="P154" s="101"/>
      <c r="Q154" s="101"/>
      <c r="R154" s="101"/>
      <c r="S154" s="101"/>
      <c r="T154" s="114"/>
      <c r="U154" s="115"/>
      <c r="V154" s="37"/>
      <c r="W154" s="40"/>
      <c r="X154" s="39"/>
      <c r="Y154" s="39"/>
      <c r="Z154" s="39"/>
      <c r="AA154" s="39"/>
      <c r="AB154" s="76"/>
    </row>
    <row r="155" spans="1:31" s="27" customFormat="1" ht="29.25" hidden="1" customHeight="1">
      <c r="A155" s="149"/>
      <c r="B155" s="57" t="s">
        <v>43</v>
      </c>
      <c r="C155" s="110"/>
      <c r="D155" s="100"/>
      <c r="E155" s="100"/>
      <c r="F155" s="90"/>
      <c r="G155" s="89"/>
      <c r="H155" s="101"/>
      <c r="I155" s="90"/>
      <c r="J155" s="90"/>
      <c r="K155" s="90"/>
      <c r="L155" s="90"/>
      <c r="M155" s="114"/>
      <c r="N155" s="90"/>
      <c r="O155" s="101"/>
      <c r="P155" s="101"/>
      <c r="Q155" s="101"/>
      <c r="R155" s="101"/>
      <c r="S155" s="101"/>
      <c r="T155" s="114"/>
      <c r="U155" s="115"/>
      <c r="V155" s="37"/>
      <c r="W155" s="40"/>
      <c r="X155" s="39"/>
      <c r="Y155" s="39"/>
      <c r="Z155" s="39"/>
      <c r="AA155" s="39"/>
      <c r="AB155" s="76"/>
    </row>
    <row r="156" spans="1:31" s="27" customFormat="1" ht="34.5" hidden="1" customHeight="1">
      <c r="A156" s="186" t="s">
        <v>105</v>
      </c>
      <c r="B156" s="186"/>
      <c r="C156" s="186"/>
      <c r="D156" s="116">
        <f>SUM(D155)</f>
        <v>0</v>
      </c>
      <c r="E156" s="116"/>
      <c r="F156" s="148">
        <f>SUM(F155)</f>
        <v>0</v>
      </c>
      <c r="G156" s="117">
        <f>SUM(G155)</f>
        <v>0</v>
      </c>
      <c r="H156" s="116"/>
      <c r="I156" s="148">
        <f>SUM(I155)</f>
        <v>0</v>
      </c>
      <c r="J156" s="101"/>
      <c r="K156" s="148">
        <f>SUM(K155)</f>
        <v>0</v>
      </c>
      <c r="L156" s="148"/>
      <c r="M156" s="114"/>
      <c r="N156" s="90"/>
      <c r="O156" s="101"/>
      <c r="P156" s="101"/>
      <c r="Q156" s="101"/>
      <c r="R156" s="101"/>
      <c r="S156" s="101"/>
      <c r="T156" s="114"/>
      <c r="U156" s="115"/>
      <c r="V156" s="37"/>
      <c r="W156" s="40"/>
      <c r="X156" s="39"/>
      <c r="Y156" s="39"/>
      <c r="Z156" s="39"/>
      <c r="AA156" s="39"/>
      <c r="AB156" s="76"/>
    </row>
    <row r="157" spans="1:31" s="27" customFormat="1" ht="30.75" customHeight="1">
      <c r="A157" s="149"/>
      <c r="B157" s="57" t="s">
        <v>159</v>
      </c>
      <c r="C157" s="110"/>
      <c r="D157" s="102">
        <f>S157</f>
        <v>11</v>
      </c>
      <c r="E157" s="102"/>
      <c r="F157" s="90">
        <f>U157</f>
        <v>356294.72360999999</v>
      </c>
      <c r="G157" s="89"/>
      <c r="H157" s="101"/>
      <c r="I157" s="90">
        <f>J157+K157</f>
        <v>3.1999999999534339</v>
      </c>
      <c r="J157" s="90">
        <f>1756093.2-1756090</f>
        <v>3.1999999999534339</v>
      </c>
      <c r="K157" s="90"/>
      <c r="L157" s="90"/>
      <c r="M157" s="114"/>
      <c r="N157" s="90"/>
      <c r="O157" s="90"/>
      <c r="P157" s="90"/>
      <c r="Q157" s="90"/>
      <c r="R157" s="101"/>
      <c r="S157" s="89">
        <v>11</v>
      </c>
      <c r="T157" s="114"/>
      <c r="U157" s="92">
        <v>356294.72360999999</v>
      </c>
      <c r="V157" s="18">
        <f t="shared" ref="V157" si="26">U157*0.879999983231406</f>
        <v>313539.35080223845</v>
      </c>
      <c r="W157" s="36">
        <f>U157-V157</f>
        <v>42755.372807761538</v>
      </c>
      <c r="X157" s="39"/>
      <c r="Y157" s="39"/>
      <c r="Z157" s="39"/>
      <c r="AA157" s="39"/>
      <c r="AB157" s="76"/>
      <c r="AC157" s="31">
        <f>U157+AD150</f>
        <v>516187.92637999996</v>
      </c>
      <c r="AD157" s="31">
        <f>61942.5+454245.4</f>
        <v>516187.9</v>
      </c>
      <c r="AE157" s="31">
        <f>AD152+V157</f>
        <v>454245.35317193181</v>
      </c>
    </row>
    <row r="158" spans="1:31" s="41" customFormat="1" ht="39.75" hidden="1" customHeight="1">
      <c r="A158" s="118"/>
      <c r="B158" s="191" t="s">
        <v>18</v>
      </c>
      <c r="C158" s="191"/>
      <c r="D158" s="191"/>
      <c r="E158" s="191"/>
      <c r="F158" s="191"/>
      <c r="G158" s="191"/>
      <c r="H158" s="191"/>
      <c r="I158" s="191"/>
      <c r="J158" s="191"/>
      <c r="K158" s="191"/>
      <c r="L158" s="191"/>
      <c r="M158" s="191"/>
      <c r="N158" s="191"/>
      <c r="O158" s="191"/>
      <c r="P158" s="191"/>
      <c r="Q158" s="191"/>
      <c r="R158" s="191"/>
      <c r="S158" s="191"/>
      <c r="T158" s="191"/>
      <c r="U158" s="191"/>
      <c r="V158" s="13"/>
      <c r="W158" s="63"/>
      <c r="X158" s="45"/>
      <c r="Y158" s="45"/>
      <c r="Z158" s="45"/>
      <c r="AA158" s="45"/>
      <c r="AB158" s="77"/>
    </row>
    <row r="159" spans="1:31" s="41" customFormat="1" ht="54.75" customHeight="1">
      <c r="A159" s="119">
        <v>3</v>
      </c>
      <c r="B159" s="120" t="s">
        <v>106</v>
      </c>
      <c r="C159" s="121"/>
      <c r="D159" s="122"/>
      <c r="E159" s="123">
        <f>E161+E165</f>
        <v>788.23</v>
      </c>
      <c r="F159" s="123">
        <f>F161+F165</f>
        <v>937909.78588999994</v>
      </c>
      <c r="G159" s="123"/>
      <c r="H159" s="123" t="e">
        <f>#REF!+#REF!+#REF!+#REF!+#REF!+#REF!+#REF!+#REF!+#REF!+#REF!</f>
        <v>#REF!</v>
      </c>
      <c r="I159" s="123" t="e">
        <f>I175+#REF!+#REF!+I182+#REF!+#REF!+#REF!+#REF!+#REF!+#REF!+#REF!+#REF!</f>
        <v>#REF!</v>
      </c>
      <c r="J159" s="123"/>
      <c r="K159" s="123" t="e">
        <f>K175+#REF!+#REF!+K182+#REF!+#REF!+#REF!+#REF!+#REF!+#REF!+#REF!+#REF!+0.03</f>
        <v>#REF!</v>
      </c>
      <c r="L159" s="123" t="e">
        <f>L175+#REF!+#REF!+L182+#REF!+#REF!+#REF!+#REF!+#REF!+#REF!+#REF!+#REF!</f>
        <v>#REF!</v>
      </c>
      <c r="M159" s="123"/>
      <c r="N159" s="124">
        <f>N169+N175+N176+N178+N180+N182+N185+N187+N189+N191+N193</f>
        <v>788.23</v>
      </c>
      <c r="O159" s="123">
        <f>O169+O175+O176+O178+O180+O182+O185+O187+O189+O191+O193</f>
        <v>872909.81400000001</v>
      </c>
      <c r="P159" s="123"/>
      <c r="Q159" s="123">
        <f>Q169+Q175+Q176+Q178+Q180+Q182+Q185+Q187+Q189+Q191+Q193</f>
        <v>845309.41716000007</v>
      </c>
      <c r="R159" s="123">
        <f>R169+R175+R176+R178+R182+R185+R187+R189+R191+R193</f>
        <v>27600.396840000001</v>
      </c>
      <c r="S159" s="122"/>
      <c r="T159" s="123"/>
      <c r="U159" s="123"/>
      <c r="V159" s="23"/>
      <c r="W159" s="65"/>
      <c r="X159" s="72"/>
      <c r="Y159" s="72"/>
      <c r="Z159" s="45"/>
      <c r="AA159" s="45"/>
      <c r="AB159" s="77"/>
      <c r="AC159" s="43">
        <f>F159-O159</f>
        <v>64999.971889999928</v>
      </c>
    </row>
    <row r="160" spans="1:31" s="41" customFormat="1" ht="27" customHeight="1">
      <c r="A160" s="125"/>
      <c r="B160" s="126" t="s">
        <v>12</v>
      </c>
      <c r="C160" s="121"/>
      <c r="D160" s="122"/>
      <c r="E160" s="121"/>
      <c r="F160" s="121"/>
      <c r="G160" s="122"/>
      <c r="H160" s="122"/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  <c r="T160" s="122"/>
      <c r="U160" s="150"/>
      <c r="V160" s="13"/>
      <c r="W160" s="63"/>
      <c r="X160" s="45"/>
      <c r="Y160" s="45"/>
      <c r="Z160" s="45"/>
      <c r="AA160" s="45"/>
      <c r="AB160" s="77"/>
    </row>
    <row r="161" spans="1:29" s="41" customFormat="1" ht="27" customHeight="1">
      <c r="A161" s="125"/>
      <c r="B161" s="120" t="s">
        <v>107</v>
      </c>
      <c r="C161" s="121"/>
      <c r="D161" s="121"/>
      <c r="E161" s="123">
        <f>E175+E176+E178+E180+E182+E187+E189+E193</f>
        <v>498.74999999999994</v>
      </c>
      <c r="F161" s="123">
        <f>F175+F176+F178+F180+F182+F187+F189+F193</f>
        <v>477903.17189</v>
      </c>
      <c r="G161" s="123"/>
      <c r="H161" s="123" t="e">
        <f>#REF!+#REF!+#REF!+#REF!+#REF!+#REF!+#REF!</f>
        <v>#REF!</v>
      </c>
      <c r="I161" s="123" t="e">
        <f>I175+#REF!+I182+#REF!+#REF!+#REF!+#REF!+#REF!+#REF!+0.04</f>
        <v>#REF!</v>
      </c>
      <c r="J161" s="123"/>
      <c r="K161" s="123" t="e">
        <f>K175+#REF!+K182+#REF!+#REF!+#REF!+#REF!+#REF!+#REF!+0.04</f>
        <v>#REF!</v>
      </c>
      <c r="L161" s="123"/>
      <c r="M161" s="123"/>
      <c r="N161" s="124">
        <f>N175+N176+N178+N180+N182+N185+N187+N189+N193</f>
        <v>498.74999999999994</v>
      </c>
      <c r="O161" s="123">
        <f>O175+O176+O178+O180+O182+O185+O187+O189+O193</f>
        <v>412903.2</v>
      </c>
      <c r="P161" s="123"/>
      <c r="Q161" s="123">
        <f>Q175+Q176+Q178+Q180+Q182+Q185+Q187+Q189+Q193</f>
        <v>412903.2</v>
      </c>
      <c r="R161" s="123"/>
      <c r="S161" s="122"/>
      <c r="T161" s="123"/>
      <c r="U161" s="123"/>
      <c r="V161" s="13"/>
      <c r="W161" s="65"/>
      <c r="X161" s="72"/>
      <c r="Y161" s="72"/>
      <c r="Z161" s="45"/>
      <c r="AA161" s="45"/>
      <c r="AB161" s="77"/>
    </row>
    <row r="162" spans="1:29" s="41" customFormat="1" ht="32.25" hidden="1" customHeight="1">
      <c r="A162" s="125"/>
      <c r="B162" s="127" t="s">
        <v>108</v>
      </c>
      <c r="C162" s="121"/>
      <c r="D162" s="121"/>
      <c r="E162" s="128">
        <f>E170</f>
        <v>0</v>
      </c>
      <c r="F162" s="128">
        <f>F170</f>
        <v>0</v>
      </c>
      <c r="G162" s="123"/>
      <c r="H162" s="123"/>
      <c r="I162" s="123"/>
      <c r="J162" s="123"/>
      <c r="K162" s="123"/>
      <c r="L162" s="123"/>
      <c r="M162" s="123"/>
      <c r="N162" s="123"/>
      <c r="O162" s="123"/>
      <c r="P162" s="123"/>
      <c r="Q162" s="123"/>
      <c r="R162" s="123"/>
      <c r="S162" s="122"/>
      <c r="T162" s="128"/>
      <c r="U162" s="128"/>
      <c r="V162" s="42"/>
      <c r="W162" s="66"/>
      <c r="X162" s="72"/>
      <c r="Y162" s="72"/>
      <c r="Z162" s="45"/>
      <c r="AA162" s="45"/>
      <c r="AB162" s="77"/>
    </row>
    <row r="163" spans="1:29" s="41" customFormat="1" ht="28.5" customHeight="1">
      <c r="A163" s="125"/>
      <c r="B163" s="127" t="s">
        <v>188</v>
      </c>
      <c r="C163" s="122"/>
      <c r="D163" s="121"/>
      <c r="E163" s="128">
        <f>E175+E182</f>
        <v>145.25</v>
      </c>
      <c r="F163" s="128">
        <f>F172+F175+F182</f>
        <v>347480.56552</v>
      </c>
      <c r="G163" s="123"/>
      <c r="H163" s="128"/>
      <c r="I163" s="128">
        <f>I175+I182</f>
        <v>64999.971890000001</v>
      </c>
      <c r="J163" s="123"/>
      <c r="K163" s="128">
        <f>K175+K182</f>
        <v>64999.971890000001</v>
      </c>
      <c r="L163" s="123"/>
      <c r="M163" s="123"/>
      <c r="N163" s="128">
        <f>N175+N182</f>
        <v>145.25</v>
      </c>
      <c r="O163" s="128">
        <f>O175+O182</f>
        <v>282480.59363000002</v>
      </c>
      <c r="P163" s="123"/>
      <c r="Q163" s="128">
        <f>Q175+Q182</f>
        <v>282480.59363000002</v>
      </c>
      <c r="R163" s="128"/>
      <c r="S163" s="122"/>
      <c r="T163" s="128"/>
      <c r="U163" s="128"/>
      <c r="V163" s="42"/>
      <c r="W163" s="66"/>
      <c r="X163" s="45"/>
      <c r="Y163" s="73"/>
      <c r="Z163" s="45"/>
      <c r="AA163" s="45"/>
      <c r="AB163" s="77"/>
      <c r="AC163" s="43">
        <f>F161-O161</f>
        <v>64999.971889999986</v>
      </c>
    </row>
    <row r="164" spans="1:29" s="41" customFormat="1" ht="27.75" customHeight="1">
      <c r="A164" s="125"/>
      <c r="B164" s="127" t="s">
        <v>189</v>
      </c>
      <c r="C164" s="121"/>
      <c r="D164" s="121"/>
      <c r="E164" s="128">
        <f>E161-E162-E163</f>
        <v>353.49999999999994</v>
      </c>
      <c r="F164" s="128">
        <f>F161-F162-F163</f>
        <v>130422.60636999999</v>
      </c>
      <c r="G164" s="123"/>
      <c r="H164" s="128" t="e">
        <f>H161-H163</f>
        <v>#REF!</v>
      </c>
      <c r="I164" s="128" t="e">
        <f>I161-I163</f>
        <v>#REF!</v>
      </c>
      <c r="J164" s="123"/>
      <c r="K164" s="128" t="e">
        <f>K161-K163</f>
        <v>#REF!</v>
      </c>
      <c r="L164" s="123"/>
      <c r="M164" s="123"/>
      <c r="N164" s="128">
        <f>N161-N163</f>
        <v>353.49999999999994</v>
      </c>
      <c r="O164" s="128">
        <f>O161-O163</f>
        <v>130422.60636999999</v>
      </c>
      <c r="P164" s="123"/>
      <c r="Q164" s="128">
        <f>Q161-Q163</f>
        <v>130422.60636999999</v>
      </c>
      <c r="R164" s="123"/>
      <c r="S164" s="122"/>
      <c r="T164" s="128"/>
      <c r="U164" s="128"/>
      <c r="V164" s="13"/>
      <c r="W164" s="66"/>
      <c r="X164" s="45"/>
      <c r="Y164" s="72"/>
      <c r="Z164" s="45"/>
      <c r="AA164" s="45"/>
      <c r="AB164" s="77"/>
    </row>
    <row r="165" spans="1:29" s="41" customFormat="1" ht="33" customHeight="1">
      <c r="A165" s="125"/>
      <c r="B165" s="120" t="s">
        <v>109</v>
      </c>
      <c r="C165" s="121"/>
      <c r="D165" s="121"/>
      <c r="E165" s="123">
        <f>E169+E191</f>
        <v>289.48</v>
      </c>
      <c r="F165" s="123">
        <f>F169+F191</f>
        <v>460006.614</v>
      </c>
      <c r="G165" s="129"/>
      <c r="H165" s="123" t="e">
        <f>#REF!+#REF!+#REF!</f>
        <v>#REF!</v>
      </c>
      <c r="I165" s="123" t="e">
        <f>#REF!+#REF!+#REF!</f>
        <v>#REF!</v>
      </c>
      <c r="J165" s="123"/>
      <c r="K165" s="123" t="e">
        <f>#REF!+#REF!+#REF!</f>
        <v>#REF!</v>
      </c>
      <c r="L165" s="123" t="e">
        <f>#REF!+#REF!+#REF!</f>
        <v>#REF!</v>
      </c>
      <c r="M165" s="122"/>
      <c r="N165" s="124">
        <f>N169+N191</f>
        <v>289.48</v>
      </c>
      <c r="O165" s="123">
        <f>O169+O191</f>
        <v>460006.614</v>
      </c>
      <c r="P165" s="123"/>
      <c r="Q165" s="123">
        <f>Q169+Q191</f>
        <v>432406.21716</v>
      </c>
      <c r="R165" s="123">
        <f>SUM(R169:R193)</f>
        <v>27600.396840000001</v>
      </c>
      <c r="S165" s="122"/>
      <c r="T165" s="121"/>
      <c r="U165" s="150"/>
      <c r="V165" s="13"/>
      <c r="W165" s="63"/>
      <c r="X165" s="72"/>
      <c r="Y165" s="72"/>
      <c r="Z165" s="45"/>
      <c r="AA165" s="45"/>
      <c r="AB165" s="77"/>
    </row>
    <row r="166" spans="1:29" s="41" customFormat="1" ht="33" customHeight="1">
      <c r="A166" s="125"/>
      <c r="B166" s="127" t="s">
        <v>188</v>
      </c>
      <c r="C166" s="121"/>
      <c r="D166" s="121"/>
      <c r="E166" s="128">
        <f xml:space="preserve"> E191</f>
        <v>216.28</v>
      </c>
      <c r="F166" s="128">
        <f>F191</f>
        <v>375000</v>
      </c>
      <c r="G166" s="129"/>
      <c r="H166" s="128" t="e">
        <f>#REF!</f>
        <v>#REF!</v>
      </c>
      <c r="I166" s="128" t="e">
        <f>#REF!</f>
        <v>#REF!</v>
      </c>
      <c r="J166" s="123"/>
      <c r="K166" s="128" t="e">
        <f>#REF!</f>
        <v>#REF!</v>
      </c>
      <c r="L166" s="128" t="e">
        <f>#REF!</f>
        <v>#REF!</v>
      </c>
      <c r="M166" s="122"/>
      <c r="N166" s="128">
        <f xml:space="preserve"> N191</f>
        <v>216.28</v>
      </c>
      <c r="O166" s="128">
        <f xml:space="preserve"> O191</f>
        <v>375000</v>
      </c>
      <c r="P166" s="123"/>
      <c r="Q166" s="128">
        <f xml:space="preserve"> Q191</f>
        <v>352500</v>
      </c>
      <c r="R166" s="128">
        <f xml:space="preserve"> R191</f>
        <v>22500</v>
      </c>
      <c r="S166" s="122"/>
      <c r="T166" s="121"/>
      <c r="U166" s="150"/>
      <c r="V166" s="13"/>
      <c r="W166" s="63"/>
      <c r="X166" s="72"/>
      <c r="Y166" s="72"/>
      <c r="Z166" s="45"/>
      <c r="AA166" s="45"/>
      <c r="AB166" s="77"/>
    </row>
    <row r="167" spans="1:29" s="41" customFormat="1" ht="30" customHeight="1">
      <c r="A167" s="125"/>
      <c r="B167" s="127" t="s">
        <v>189</v>
      </c>
      <c r="C167" s="121"/>
      <c r="D167" s="121"/>
      <c r="E167" s="128">
        <f>E165-E166</f>
        <v>73.200000000000017</v>
      </c>
      <c r="F167" s="128">
        <f>F165-F166</f>
        <v>85006.614000000001</v>
      </c>
      <c r="G167" s="129"/>
      <c r="H167" s="128" t="e">
        <f>H165-H166</f>
        <v>#REF!</v>
      </c>
      <c r="I167" s="128" t="e">
        <f>I165-I166</f>
        <v>#REF!</v>
      </c>
      <c r="J167" s="123"/>
      <c r="K167" s="128" t="e">
        <f>K165-K166</f>
        <v>#REF!</v>
      </c>
      <c r="L167" s="128" t="e">
        <f>L165-L166</f>
        <v>#REF!</v>
      </c>
      <c r="M167" s="122"/>
      <c r="N167" s="128">
        <f>N165-N166</f>
        <v>73.200000000000017</v>
      </c>
      <c r="O167" s="128">
        <f>O165-O166</f>
        <v>85006.614000000001</v>
      </c>
      <c r="P167" s="123"/>
      <c r="Q167" s="128">
        <f>Q165-Q166</f>
        <v>79906.21716</v>
      </c>
      <c r="R167" s="128">
        <f>R165-R166</f>
        <v>5100.3968400000012</v>
      </c>
      <c r="S167" s="122"/>
      <c r="T167" s="121"/>
      <c r="U167" s="150"/>
      <c r="V167" s="13"/>
      <c r="W167" s="63"/>
      <c r="X167" s="72"/>
      <c r="Y167" s="72"/>
      <c r="Z167" s="45"/>
      <c r="AA167" s="45"/>
      <c r="AB167" s="77"/>
    </row>
    <row r="168" spans="1:29" s="41" customFormat="1" ht="45" customHeight="1">
      <c r="A168" s="192" t="s">
        <v>20</v>
      </c>
      <c r="B168" s="192"/>
      <c r="C168" s="122"/>
      <c r="D168" s="122"/>
      <c r="E168" s="122"/>
      <c r="F168" s="148"/>
      <c r="G168" s="122"/>
      <c r="H168" s="122"/>
      <c r="I168" s="148"/>
      <c r="J168" s="148"/>
      <c r="K168" s="148"/>
      <c r="L168" s="148"/>
      <c r="M168" s="122"/>
      <c r="N168" s="130"/>
      <c r="O168" s="148"/>
      <c r="P168" s="148"/>
      <c r="Q168" s="148"/>
      <c r="R168" s="148"/>
      <c r="S168" s="122"/>
      <c r="T168" s="122"/>
      <c r="U168" s="150"/>
      <c r="V168" s="13"/>
      <c r="W168" s="63"/>
      <c r="X168" s="45"/>
      <c r="Y168" s="45"/>
      <c r="Z168" s="45"/>
      <c r="AA168" s="45"/>
      <c r="AB168" s="77"/>
    </row>
    <row r="169" spans="1:29" s="41" customFormat="1" ht="86.25" customHeight="1">
      <c r="A169" s="87">
        <v>1</v>
      </c>
      <c r="B169" s="94" t="s">
        <v>110</v>
      </c>
      <c r="C169" s="122"/>
      <c r="D169" s="122"/>
      <c r="E169" s="90">
        <v>73.2</v>
      </c>
      <c r="F169" s="90">
        <v>85006.614000000001</v>
      </c>
      <c r="G169" s="122"/>
      <c r="H169" s="122"/>
      <c r="I169" s="148"/>
      <c r="J169" s="148"/>
      <c r="K169" s="148"/>
      <c r="L169" s="148"/>
      <c r="M169" s="122"/>
      <c r="N169" s="90">
        <f>E169</f>
        <v>73.2</v>
      </c>
      <c r="O169" s="90">
        <v>85006.614000000001</v>
      </c>
      <c r="P169" s="148"/>
      <c r="Q169" s="90">
        <f>O169-R169</f>
        <v>79906.21716</v>
      </c>
      <c r="R169" s="90">
        <f>O169*0.06</f>
        <v>5100.3968400000003</v>
      </c>
      <c r="S169" s="122"/>
      <c r="T169" s="122"/>
      <c r="U169" s="150"/>
      <c r="V169" s="13"/>
      <c r="W169" s="63"/>
      <c r="X169" s="45"/>
      <c r="Y169" s="45"/>
      <c r="Z169" s="45"/>
      <c r="AA169" s="45"/>
      <c r="AB169" s="77"/>
    </row>
    <row r="170" spans="1:29" s="41" customFormat="1" ht="113.25" hidden="1" customHeight="1">
      <c r="A170" s="131"/>
      <c r="B170" s="94" t="s">
        <v>111</v>
      </c>
      <c r="C170" s="122"/>
      <c r="D170" s="122"/>
      <c r="E170" s="90"/>
      <c r="F170" s="90"/>
      <c r="G170" s="122"/>
      <c r="H170" s="122"/>
      <c r="I170" s="148"/>
      <c r="J170" s="148"/>
      <c r="K170" s="148"/>
      <c r="L170" s="148"/>
      <c r="M170" s="122"/>
      <c r="N170" s="90"/>
      <c r="O170" s="90"/>
      <c r="P170" s="148"/>
      <c r="Q170" s="90"/>
      <c r="R170" s="90"/>
      <c r="S170" s="122"/>
      <c r="T170" s="90"/>
      <c r="U170" s="90"/>
      <c r="V170" s="64"/>
      <c r="W170" s="36"/>
      <c r="X170" s="45"/>
      <c r="Y170" s="45"/>
      <c r="Z170" s="45"/>
      <c r="AA170" s="45"/>
      <c r="AB170" s="77"/>
    </row>
    <row r="171" spans="1:29" s="41" customFormat="1" ht="31.5" hidden="1" customHeight="1">
      <c r="A171" s="190" t="s">
        <v>31</v>
      </c>
      <c r="B171" s="190"/>
      <c r="C171" s="122"/>
      <c r="D171" s="122"/>
      <c r="E171" s="122"/>
      <c r="F171" s="148"/>
      <c r="G171" s="122"/>
      <c r="H171" s="122"/>
      <c r="I171" s="148"/>
      <c r="J171" s="148"/>
      <c r="K171" s="148" t="s">
        <v>86</v>
      </c>
      <c r="L171" s="148"/>
      <c r="M171" s="122"/>
      <c r="N171" s="130"/>
      <c r="O171" s="148"/>
      <c r="P171" s="148"/>
      <c r="Q171" s="148"/>
      <c r="R171" s="148"/>
      <c r="S171" s="122"/>
      <c r="T171" s="122"/>
      <c r="U171" s="150"/>
      <c r="V171" s="13"/>
      <c r="W171" s="63"/>
      <c r="X171" s="45"/>
      <c r="Y171" s="45"/>
      <c r="Z171" s="45"/>
      <c r="AA171" s="45"/>
      <c r="AB171" s="77"/>
    </row>
    <row r="172" spans="1:29" s="41" customFormat="1" ht="71.25" hidden="1" customHeight="1">
      <c r="A172" s="87">
        <v>2</v>
      </c>
      <c r="B172" s="94" t="s">
        <v>112</v>
      </c>
      <c r="C172" s="122"/>
      <c r="D172" s="122"/>
      <c r="E172" s="90"/>
      <c r="F172" s="90"/>
      <c r="G172" s="122"/>
      <c r="H172" s="122"/>
      <c r="I172" s="148" t="s">
        <v>36</v>
      </c>
      <c r="J172" s="148" t="s">
        <v>50</v>
      </c>
      <c r="K172" s="148"/>
      <c r="L172" s="148"/>
      <c r="M172" s="122" t="s">
        <v>52</v>
      </c>
      <c r="N172" s="90"/>
      <c r="O172" s="90"/>
      <c r="P172" s="148"/>
      <c r="Q172" s="90"/>
      <c r="R172" s="148"/>
      <c r="S172" s="122"/>
      <c r="T172" s="90">
        <f>E172</f>
        <v>0</v>
      </c>
      <c r="U172" s="90">
        <f>F172</f>
        <v>0</v>
      </c>
      <c r="V172" s="64"/>
      <c r="W172" s="36">
        <f>U172</f>
        <v>0</v>
      </c>
      <c r="X172" s="45"/>
      <c r="Y172" s="45"/>
      <c r="Z172" s="45"/>
      <c r="AA172" s="45"/>
      <c r="AB172" s="77"/>
    </row>
    <row r="173" spans="1:29" s="41" customFormat="1" ht="70.5" hidden="1" customHeight="1">
      <c r="A173" s="87">
        <v>3</v>
      </c>
      <c r="B173" s="94" t="s">
        <v>113</v>
      </c>
      <c r="C173" s="122"/>
      <c r="D173" s="122"/>
      <c r="E173" s="90"/>
      <c r="F173" s="90"/>
      <c r="G173" s="122"/>
      <c r="H173" s="122"/>
      <c r="I173" s="148" t="s">
        <v>39</v>
      </c>
      <c r="J173" s="148"/>
      <c r="K173" s="148"/>
      <c r="L173" s="148"/>
      <c r="M173" s="122"/>
      <c r="N173" s="90"/>
      <c r="O173" s="90"/>
      <c r="P173" s="148"/>
      <c r="Q173" s="90"/>
      <c r="R173" s="148"/>
      <c r="S173" s="122"/>
      <c r="T173" s="90">
        <f>E173</f>
        <v>0</v>
      </c>
      <c r="U173" s="90">
        <f>F173</f>
        <v>0</v>
      </c>
      <c r="V173" s="64"/>
      <c r="W173" s="36">
        <f>U173</f>
        <v>0</v>
      </c>
      <c r="X173" s="45"/>
      <c r="Y173" s="45"/>
      <c r="Z173" s="45"/>
      <c r="AA173" s="45"/>
      <c r="AB173" s="77"/>
    </row>
    <row r="174" spans="1:29" s="41" customFormat="1" ht="30" customHeight="1">
      <c r="A174" s="190" t="s">
        <v>163</v>
      </c>
      <c r="B174" s="190"/>
      <c r="C174" s="122"/>
      <c r="D174" s="122"/>
      <c r="E174" s="122"/>
      <c r="F174" s="148"/>
      <c r="G174" s="122"/>
      <c r="H174" s="122"/>
      <c r="I174" s="148"/>
      <c r="J174" s="148"/>
      <c r="K174" s="148"/>
      <c r="L174" s="148"/>
      <c r="M174" s="122"/>
      <c r="N174" s="130"/>
      <c r="O174" s="148"/>
      <c r="P174" s="148"/>
      <c r="Q174" s="148"/>
      <c r="R174" s="148"/>
      <c r="S174" s="122"/>
      <c r="T174" s="122"/>
      <c r="U174" s="150"/>
      <c r="V174" s="13"/>
      <c r="W174" s="63"/>
      <c r="X174" s="45"/>
      <c r="Y174" s="45"/>
      <c r="Z174" s="45"/>
      <c r="AA174" s="45"/>
      <c r="AB174" s="77"/>
    </row>
    <row r="175" spans="1:29" s="41" customFormat="1" ht="64.5" customHeight="1">
      <c r="A175" s="87">
        <v>2</v>
      </c>
      <c r="B175" s="94" t="s">
        <v>114</v>
      </c>
      <c r="C175" s="122"/>
      <c r="D175" s="122"/>
      <c r="E175" s="90">
        <v>73.569999999999993</v>
      </c>
      <c r="F175" s="90">
        <f>I175+O175</f>
        <v>124562.68874</v>
      </c>
      <c r="G175" s="122"/>
      <c r="H175" s="122"/>
      <c r="I175" s="90">
        <v>43000</v>
      </c>
      <c r="J175" s="148"/>
      <c r="K175" s="90">
        <f>I175</f>
        <v>43000</v>
      </c>
      <c r="L175" s="148"/>
      <c r="M175" s="122"/>
      <c r="N175" s="90">
        <f>E175</f>
        <v>73.569999999999993</v>
      </c>
      <c r="O175" s="90">
        <v>81562.688739999998</v>
      </c>
      <c r="P175" s="148"/>
      <c r="Q175" s="90">
        <f>O175</f>
        <v>81562.688739999998</v>
      </c>
      <c r="R175" s="148"/>
      <c r="S175" s="122"/>
      <c r="T175" s="122"/>
      <c r="U175" s="150"/>
      <c r="V175" s="13"/>
      <c r="W175" s="63"/>
      <c r="X175" s="45"/>
      <c r="Y175" s="45"/>
      <c r="Z175" s="45"/>
      <c r="AA175" s="45"/>
      <c r="AB175" s="77"/>
      <c r="AC175" s="43">
        <f>F175-O175</f>
        <v>43000</v>
      </c>
    </row>
    <row r="176" spans="1:29" s="41" customFormat="1" ht="62.25" customHeight="1">
      <c r="A176" s="87">
        <v>3</v>
      </c>
      <c r="B176" s="94" t="s">
        <v>115</v>
      </c>
      <c r="C176" s="122"/>
      <c r="D176" s="122"/>
      <c r="E176" s="90">
        <v>45.4</v>
      </c>
      <c r="F176" s="90">
        <f>19500-2239.9815+0.00764</f>
        <v>17260.026139999998</v>
      </c>
      <c r="G176" s="122"/>
      <c r="H176" s="122"/>
      <c r="I176" s="148"/>
      <c r="J176" s="148"/>
      <c r="K176" s="148"/>
      <c r="L176" s="148"/>
      <c r="M176" s="122"/>
      <c r="N176" s="90">
        <f>E176</f>
        <v>45.4</v>
      </c>
      <c r="O176" s="90">
        <f>F176</f>
        <v>17260.026139999998</v>
      </c>
      <c r="P176" s="148"/>
      <c r="Q176" s="90">
        <f>O176</f>
        <v>17260.026139999998</v>
      </c>
      <c r="R176" s="148"/>
      <c r="S176" s="122"/>
      <c r="T176" s="122"/>
      <c r="U176" s="150"/>
      <c r="V176" s="13"/>
      <c r="W176" s="63"/>
      <c r="X176" s="45"/>
      <c r="Y176" s="45"/>
      <c r="Z176" s="45"/>
      <c r="AA176" s="45"/>
      <c r="AB176" s="77"/>
    </row>
    <row r="177" spans="1:29" s="41" customFormat="1" ht="32.25" customHeight="1">
      <c r="A177" s="192" t="s">
        <v>46</v>
      </c>
      <c r="B177" s="192"/>
      <c r="C177" s="132"/>
      <c r="D177" s="132"/>
      <c r="E177" s="132"/>
      <c r="F177" s="132"/>
      <c r="G177" s="148"/>
      <c r="H177" s="109"/>
      <c r="I177" s="148"/>
      <c r="J177" s="148"/>
      <c r="K177" s="148"/>
      <c r="L177" s="148"/>
      <c r="M177" s="130"/>
      <c r="N177" s="130"/>
      <c r="O177" s="130"/>
      <c r="P177" s="130"/>
      <c r="Q177" s="130"/>
      <c r="R177" s="130"/>
      <c r="S177" s="130"/>
      <c r="T177" s="130"/>
      <c r="U177" s="133"/>
      <c r="V177" s="28"/>
      <c r="W177" s="44"/>
      <c r="X177" s="45"/>
      <c r="Y177" s="45"/>
      <c r="Z177" s="45"/>
      <c r="AA177" s="45"/>
      <c r="AB177" s="77"/>
    </row>
    <row r="178" spans="1:29" s="41" customFormat="1" ht="71.25" customHeight="1">
      <c r="A178" s="87">
        <v>4</v>
      </c>
      <c r="B178" s="94" t="s">
        <v>116</v>
      </c>
      <c r="C178" s="88"/>
      <c r="D178" s="132"/>
      <c r="E178" s="90">
        <v>80.3</v>
      </c>
      <c r="F178" s="90">
        <f>33000-3386.74537</f>
        <v>29613.254629999999</v>
      </c>
      <c r="G178" s="148"/>
      <c r="H178" s="90"/>
      <c r="I178" s="90"/>
      <c r="J178" s="90"/>
      <c r="K178" s="90"/>
      <c r="L178" s="90"/>
      <c r="M178" s="130"/>
      <c r="N178" s="90">
        <f>E178</f>
        <v>80.3</v>
      </c>
      <c r="O178" s="90">
        <f>F178</f>
        <v>29613.254629999999</v>
      </c>
      <c r="P178" s="130"/>
      <c r="Q178" s="90">
        <f>O178</f>
        <v>29613.254629999999</v>
      </c>
      <c r="R178" s="130"/>
      <c r="S178" s="130"/>
      <c r="T178" s="130"/>
      <c r="U178" s="133"/>
      <c r="V178" s="28"/>
      <c r="W178" s="44"/>
      <c r="X178" s="45"/>
      <c r="Y178" s="45"/>
      <c r="Z178" s="45"/>
      <c r="AA178" s="45"/>
      <c r="AB178" s="77"/>
    </row>
    <row r="179" spans="1:29" s="41" customFormat="1" ht="30.75" customHeight="1">
      <c r="A179" s="192" t="s">
        <v>184</v>
      </c>
      <c r="B179" s="192"/>
      <c r="C179" s="88"/>
      <c r="D179" s="132"/>
      <c r="E179" s="90"/>
      <c r="F179" s="90"/>
      <c r="G179" s="148"/>
      <c r="H179" s="90"/>
      <c r="I179" s="90"/>
      <c r="J179" s="90"/>
      <c r="K179" s="90"/>
      <c r="L179" s="90"/>
      <c r="M179" s="130"/>
      <c r="N179" s="90"/>
      <c r="O179" s="90"/>
      <c r="P179" s="130"/>
      <c r="Q179" s="90"/>
      <c r="R179" s="130"/>
      <c r="S179" s="130"/>
      <c r="T179" s="130"/>
      <c r="U179" s="133"/>
      <c r="V179" s="28"/>
      <c r="W179" s="44"/>
      <c r="X179" s="45"/>
      <c r="Y179" s="45"/>
      <c r="Z179" s="45"/>
      <c r="AA179" s="45"/>
      <c r="AB179" s="77"/>
    </row>
    <row r="180" spans="1:29" s="41" customFormat="1" ht="65.25" customHeight="1">
      <c r="A180" s="87">
        <v>5</v>
      </c>
      <c r="B180" s="94" t="s">
        <v>117</v>
      </c>
      <c r="C180" s="88"/>
      <c r="D180" s="132"/>
      <c r="E180" s="90">
        <v>69.2</v>
      </c>
      <c r="F180" s="90">
        <v>28760.336759999998</v>
      </c>
      <c r="G180" s="148"/>
      <c r="H180" s="90"/>
      <c r="I180" s="90"/>
      <c r="J180" s="90"/>
      <c r="K180" s="90"/>
      <c r="L180" s="90"/>
      <c r="M180" s="130"/>
      <c r="N180" s="90">
        <f>E180</f>
        <v>69.2</v>
      </c>
      <c r="O180" s="90">
        <f>F180</f>
        <v>28760.336759999998</v>
      </c>
      <c r="P180" s="130"/>
      <c r="Q180" s="90">
        <f>O180</f>
        <v>28760.336759999998</v>
      </c>
      <c r="R180" s="130"/>
      <c r="S180" s="130"/>
      <c r="T180" s="130"/>
      <c r="U180" s="133"/>
      <c r="V180" s="28"/>
      <c r="W180" s="44"/>
      <c r="X180" s="45"/>
      <c r="Y180" s="45"/>
      <c r="Z180" s="45"/>
      <c r="AA180" s="45"/>
      <c r="AB180" s="77"/>
    </row>
    <row r="181" spans="1:29" s="41" customFormat="1" ht="42.75" customHeight="1">
      <c r="A181" s="192" t="s">
        <v>167</v>
      </c>
      <c r="B181" s="192"/>
      <c r="C181" s="132"/>
      <c r="D181" s="132"/>
      <c r="E181" s="132"/>
      <c r="F181" s="148"/>
      <c r="G181" s="148"/>
      <c r="H181" s="109"/>
      <c r="I181" s="148"/>
      <c r="J181" s="148"/>
      <c r="K181" s="148"/>
      <c r="L181" s="148"/>
      <c r="M181" s="130"/>
      <c r="N181" s="130"/>
      <c r="O181" s="130"/>
      <c r="P181" s="130"/>
      <c r="Q181" s="130"/>
      <c r="R181" s="130"/>
      <c r="S181" s="130"/>
      <c r="T181" s="130"/>
      <c r="U181" s="133"/>
      <c r="V181" s="28"/>
      <c r="W181" s="44"/>
      <c r="X181" s="45"/>
      <c r="Y181" s="45"/>
      <c r="Z181" s="45"/>
      <c r="AA181" s="45"/>
      <c r="AB181" s="77"/>
    </row>
    <row r="182" spans="1:29" s="41" customFormat="1" ht="91.5" customHeight="1">
      <c r="A182" s="87">
        <v>6</v>
      </c>
      <c r="B182" s="94" t="s">
        <v>118</v>
      </c>
      <c r="C182" s="132"/>
      <c r="D182" s="132"/>
      <c r="E182" s="90">
        <v>71.680000000000007</v>
      </c>
      <c r="F182" s="90">
        <f>I182+O182</f>
        <v>222917.87677999999</v>
      </c>
      <c r="G182" s="148"/>
      <c r="H182" s="109"/>
      <c r="I182" s="90">
        <v>21999.971890000001</v>
      </c>
      <c r="J182" s="148" t="s">
        <v>50</v>
      </c>
      <c r="K182" s="90">
        <f>I182</f>
        <v>21999.971890000001</v>
      </c>
      <c r="L182" s="148"/>
      <c r="M182" s="130"/>
      <c r="N182" s="90">
        <f>E182</f>
        <v>71.680000000000007</v>
      </c>
      <c r="O182" s="90">
        <v>200917.90489000001</v>
      </c>
      <c r="P182" s="130"/>
      <c r="Q182" s="90">
        <f>O182</f>
        <v>200917.90489000001</v>
      </c>
      <c r="R182" s="130"/>
      <c r="S182" s="130"/>
      <c r="T182" s="130"/>
      <c r="U182" s="133"/>
      <c r="V182" s="28"/>
      <c r="W182" s="44"/>
      <c r="X182" s="45"/>
      <c r="Y182" s="45"/>
      <c r="Z182" s="45"/>
      <c r="AA182" s="45"/>
      <c r="AB182" s="77"/>
      <c r="AC182" s="43">
        <f>F182-O182</f>
        <v>21999.971889999986</v>
      </c>
    </row>
    <row r="183" spans="1:29" s="41" customFormat="1" ht="63" hidden="1" customHeight="1">
      <c r="A183" s="104">
        <v>8</v>
      </c>
      <c r="B183" s="94" t="s">
        <v>119</v>
      </c>
      <c r="C183" s="132"/>
      <c r="D183" s="132"/>
      <c r="E183" s="90"/>
      <c r="F183" s="90"/>
      <c r="G183" s="148"/>
      <c r="H183" s="109"/>
      <c r="I183" s="148"/>
      <c r="J183" s="148"/>
      <c r="K183" s="148"/>
      <c r="L183" s="148"/>
      <c r="M183" s="130"/>
      <c r="N183" s="90"/>
      <c r="O183" s="90"/>
      <c r="P183" s="130"/>
      <c r="Q183" s="90"/>
      <c r="R183" s="130"/>
      <c r="S183" s="130"/>
      <c r="T183" s="130"/>
      <c r="U183" s="133"/>
      <c r="V183" s="28"/>
      <c r="W183" s="44"/>
      <c r="X183" s="45"/>
      <c r="Y183" s="45"/>
      <c r="Z183" s="45"/>
      <c r="AA183" s="45"/>
      <c r="AB183" s="77"/>
    </row>
    <row r="184" spans="1:29" s="41" customFormat="1" ht="36" hidden="1" customHeight="1">
      <c r="A184" s="184" t="s">
        <v>66</v>
      </c>
      <c r="B184" s="184"/>
      <c r="C184" s="132"/>
      <c r="D184" s="132"/>
      <c r="E184" s="130"/>
      <c r="F184" s="130"/>
      <c r="G184" s="148"/>
      <c r="H184" s="109"/>
      <c r="I184" s="148"/>
      <c r="J184" s="148"/>
      <c r="K184" s="148"/>
      <c r="L184" s="148"/>
      <c r="M184" s="130"/>
      <c r="N184" s="130"/>
      <c r="O184" s="130"/>
      <c r="P184" s="130"/>
      <c r="Q184" s="130"/>
      <c r="R184" s="130"/>
      <c r="S184" s="130"/>
      <c r="T184" s="130"/>
      <c r="U184" s="133"/>
      <c r="V184" s="28"/>
      <c r="W184" s="44"/>
      <c r="X184" s="45"/>
      <c r="Y184" s="45"/>
      <c r="Z184" s="45"/>
      <c r="AA184" s="45"/>
      <c r="AB184" s="77"/>
    </row>
    <row r="185" spans="1:29" s="41" customFormat="1" ht="54.75" hidden="1" customHeight="1">
      <c r="A185" s="104"/>
      <c r="B185" s="94" t="s">
        <v>120</v>
      </c>
      <c r="C185" s="132"/>
      <c r="D185" s="132"/>
      <c r="E185" s="90"/>
      <c r="F185" s="90"/>
      <c r="G185" s="148"/>
      <c r="H185" s="109"/>
      <c r="I185" s="148"/>
      <c r="J185" s="148"/>
      <c r="K185" s="148"/>
      <c r="L185" s="148"/>
      <c r="M185" s="130"/>
      <c r="N185" s="90"/>
      <c r="O185" s="90">
        <f>F185</f>
        <v>0</v>
      </c>
      <c r="P185" s="130"/>
      <c r="Q185" s="90">
        <f>O185</f>
        <v>0</v>
      </c>
      <c r="R185" s="130"/>
      <c r="S185" s="130"/>
      <c r="T185" s="130"/>
      <c r="U185" s="133"/>
      <c r="V185" s="28"/>
      <c r="W185" s="44"/>
      <c r="X185" s="45"/>
      <c r="Y185" s="45"/>
      <c r="Z185" s="45"/>
      <c r="AA185" s="45"/>
      <c r="AB185" s="77"/>
    </row>
    <row r="186" spans="1:29" s="41" customFormat="1" ht="40.5" customHeight="1">
      <c r="A186" s="172" t="s">
        <v>69</v>
      </c>
      <c r="B186" s="174"/>
      <c r="C186" s="132"/>
      <c r="D186" s="132"/>
      <c r="E186" s="130"/>
      <c r="F186" s="134"/>
      <c r="G186" s="148"/>
      <c r="H186" s="109"/>
      <c r="I186" s="90"/>
      <c r="J186" s="148"/>
      <c r="K186" s="148"/>
      <c r="L186" s="148"/>
      <c r="M186" s="130"/>
      <c r="N186" s="130"/>
      <c r="O186" s="130"/>
      <c r="P186" s="130"/>
      <c r="Q186" s="90"/>
      <c r="R186" s="130"/>
      <c r="S186" s="130"/>
      <c r="T186" s="130"/>
      <c r="U186" s="133"/>
      <c r="V186" s="28"/>
      <c r="W186" s="44"/>
      <c r="X186" s="45"/>
      <c r="Y186" s="45"/>
      <c r="Z186" s="45"/>
      <c r="AA186" s="45"/>
      <c r="AB186" s="77"/>
    </row>
    <row r="187" spans="1:29" s="41" customFormat="1" ht="64.5" customHeight="1">
      <c r="A187" s="87">
        <v>7</v>
      </c>
      <c r="B187" s="94" t="s">
        <v>121</v>
      </c>
      <c r="C187" s="132"/>
      <c r="D187" s="132"/>
      <c r="E187" s="90">
        <v>51.2</v>
      </c>
      <c r="F187" s="90">
        <f>19500-2110.24684</f>
        <v>17389.75316</v>
      </c>
      <c r="G187" s="148"/>
      <c r="H187" s="109"/>
      <c r="I187" s="148"/>
      <c r="J187" s="148"/>
      <c r="K187" s="148"/>
      <c r="L187" s="148"/>
      <c r="M187" s="130"/>
      <c r="N187" s="90">
        <v>51.2</v>
      </c>
      <c r="O187" s="90">
        <f>F187</f>
        <v>17389.75316</v>
      </c>
      <c r="P187" s="130"/>
      <c r="Q187" s="90">
        <f>O187</f>
        <v>17389.75316</v>
      </c>
      <c r="R187" s="130"/>
      <c r="S187" s="130"/>
      <c r="T187" s="130"/>
      <c r="U187" s="133"/>
      <c r="V187" s="28"/>
      <c r="W187" s="44"/>
      <c r="X187" s="45"/>
      <c r="Y187" s="45"/>
      <c r="Z187" s="45"/>
      <c r="AA187" s="45"/>
      <c r="AB187" s="77"/>
    </row>
    <row r="188" spans="1:29" s="41" customFormat="1" ht="27" customHeight="1">
      <c r="A188" s="192" t="s">
        <v>171</v>
      </c>
      <c r="B188" s="192"/>
      <c r="C188" s="132"/>
      <c r="D188" s="132"/>
      <c r="E188" s="90"/>
      <c r="F188" s="90"/>
      <c r="G188" s="148"/>
      <c r="H188" s="109"/>
      <c r="I188" s="148"/>
      <c r="J188" s="148"/>
      <c r="K188" s="148"/>
      <c r="L188" s="148"/>
      <c r="M188" s="130"/>
      <c r="N188" s="90"/>
      <c r="O188" s="90"/>
      <c r="P188" s="130"/>
      <c r="Q188" s="90"/>
      <c r="R188" s="130"/>
      <c r="S188" s="130"/>
      <c r="T188" s="130"/>
      <c r="U188" s="133"/>
      <c r="V188" s="28"/>
      <c r="W188" s="44"/>
      <c r="X188" s="45"/>
      <c r="Y188" s="45"/>
      <c r="Z188" s="45"/>
      <c r="AA188" s="45"/>
      <c r="AB188" s="77"/>
    </row>
    <row r="189" spans="1:29" s="41" customFormat="1" ht="52.5" customHeight="1">
      <c r="A189" s="87">
        <v>8</v>
      </c>
      <c r="B189" s="135" t="s">
        <v>122</v>
      </c>
      <c r="C189" s="132"/>
      <c r="D189" s="132"/>
      <c r="E189" s="90">
        <v>67.7</v>
      </c>
      <c r="F189" s="90">
        <f>28000-1534.64814</f>
        <v>26465.351859999999</v>
      </c>
      <c r="G189" s="148"/>
      <c r="H189" s="90"/>
      <c r="I189" s="90"/>
      <c r="J189" s="90"/>
      <c r="K189" s="90"/>
      <c r="L189" s="148"/>
      <c r="M189" s="130"/>
      <c r="N189" s="90">
        <v>67.7</v>
      </c>
      <c r="O189" s="90">
        <f>F189</f>
        <v>26465.351859999999</v>
      </c>
      <c r="P189" s="130"/>
      <c r="Q189" s="90">
        <f>O189</f>
        <v>26465.351859999999</v>
      </c>
      <c r="R189" s="130"/>
      <c r="S189" s="130"/>
      <c r="T189" s="130"/>
      <c r="U189" s="133"/>
      <c r="V189" s="28"/>
      <c r="W189" s="44"/>
      <c r="X189" s="45"/>
      <c r="Y189" s="45"/>
      <c r="Z189" s="45"/>
      <c r="AA189" s="45"/>
      <c r="AB189" s="77"/>
    </row>
    <row r="190" spans="1:29" s="41" customFormat="1" ht="36" customHeight="1">
      <c r="A190" s="192" t="s">
        <v>81</v>
      </c>
      <c r="B190" s="192"/>
      <c r="C190" s="132"/>
      <c r="D190" s="136"/>
      <c r="E190" s="90"/>
      <c r="F190" s="90"/>
      <c r="G190" s="148"/>
      <c r="H190" s="109"/>
      <c r="I190" s="148"/>
      <c r="J190" s="148"/>
      <c r="K190" s="148"/>
      <c r="L190" s="148"/>
      <c r="M190" s="130"/>
      <c r="N190" s="114"/>
      <c r="O190" s="90"/>
      <c r="P190" s="90"/>
      <c r="Q190" s="90"/>
      <c r="R190" s="90"/>
      <c r="S190" s="130"/>
      <c r="T190" s="130"/>
      <c r="U190" s="133"/>
      <c r="V190" s="28"/>
      <c r="W190" s="44"/>
      <c r="X190" s="45"/>
      <c r="Y190" s="45"/>
      <c r="Z190" s="45"/>
      <c r="AA190" s="45"/>
      <c r="AB190" s="77"/>
    </row>
    <row r="191" spans="1:29" s="41" customFormat="1" ht="63" customHeight="1">
      <c r="A191" s="87">
        <v>9</v>
      </c>
      <c r="B191" s="135" t="s">
        <v>123</v>
      </c>
      <c r="C191" s="132"/>
      <c r="D191" s="136"/>
      <c r="E191" s="90">
        <v>216.28</v>
      </c>
      <c r="F191" s="90">
        <v>375000</v>
      </c>
      <c r="G191" s="148"/>
      <c r="H191" s="109"/>
      <c r="I191" s="148"/>
      <c r="J191" s="148"/>
      <c r="K191" s="148"/>
      <c r="L191" s="148"/>
      <c r="M191" s="130"/>
      <c r="N191" s="90">
        <v>216.28</v>
      </c>
      <c r="O191" s="90">
        <v>375000</v>
      </c>
      <c r="P191" s="90"/>
      <c r="Q191" s="90">
        <f>352500-249500+249500</f>
        <v>352500</v>
      </c>
      <c r="R191" s="90">
        <f>O191-Q191</f>
        <v>22500</v>
      </c>
      <c r="S191" s="130"/>
      <c r="T191" s="130"/>
      <c r="U191" s="133"/>
      <c r="V191" s="28"/>
      <c r="W191" s="44"/>
      <c r="X191" s="45"/>
      <c r="Y191" s="45"/>
      <c r="Z191" s="45"/>
      <c r="AA191" s="45"/>
      <c r="AB191" s="77"/>
    </row>
    <row r="192" spans="1:29" s="41" customFormat="1" ht="30.75" customHeight="1">
      <c r="A192" s="192" t="s">
        <v>185</v>
      </c>
      <c r="B192" s="192"/>
      <c r="C192" s="132"/>
      <c r="D192" s="136"/>
      <c r="E192" s="114"/>
      <c r="F192" s="90"/>
      <c r="G192" s="148"/>
      <c r="H192" s="109"/>
      <c r="I192" s="148"/>
      <c r="J192" s="148"/>
      <c r="K192" s="148"/>
      <c r="L192" s="148"/>
      <c r="M192" s="130"/>
      <c r="N192" s="114"/>
      <c r="O192" s="90"/>
      <c r="P192" s="90"/>
      <c r="Q192" s="90"/>
      <c r="R192" s="90"/>
      <c r="S192" s="130"/>
      <c r="T192" s="130"/>
      <c r="U192" s="133"/>
      <c r="V192" s="28"/>
      <c r="W192" s="44"/>
      <c r="X192" s="45"/>
      <c r="Y192" s="45"/>
      <c r="Z192" s="45"/>
      <c r="AA192" s="45"/>
      <c r="AB192" s="77"/>
    </row>
    <row r="193" spans="1:28" s="41" customFormat="1" ht="63" customHeight="1" thickBot="1">
      <c r="A193" s="47">
        <v>10</v>
      </c>
      <c r="B193" s="79" t="s">
        <v>124</v>
      </c>
      <c r="C193" s="80"/>
      <c r="D193" s="81"/>
      <c r="E193" s="48">
        <v>39.700000000000003</v>
      </c>
      <c r="F193" s="48">
        <v>10933.883819999999</v>
      </c>
      <c r="G193" s="82"/>
      <c r="H193" s="83"/>
      <c r="I193" s="82"/>
      <c r="J193" s="82"/>
      <c r="K193" s="82"/>
      <c r="L193" s="82"/>
      <c r="M193" s="84"/>
      <c r="N193" s="48">
        <v>39.700000000000003</v>
      </c>
      <c r="O193" s="48">
        <f>F193</f>
        <v>10933.883819999999</v>
      </c>
      <c r="P193" s="48"/>
      <c r="Q193" s="48">
        <f>O193</f>
        <v>10933.883819999999</v>
      </c>
      <c r="R193" s="48"/>
      <c r="S193" s="84"/>
      <c r="T193" s="84"/>
      <c r="U193" s="85"/>
      <c r="V193" s="84"/>
      <c r="W193" s="85"/>
      <c r="X193" s="81"/>
      <c r="Y193" s="81"/>
      <c r="Z193" s="81"/>
      <c r="AA193" s="81"/>
      <c r="AB193" s="86"/>
    </row>
    <row r="194" spans="1:28" s="46" customFormat="1" ht="29.25" hidden="1" customHeight="1">
      <c r="A194" s="193"/>
      <c r="B194" s="193"/>
      <c r="C194" s="193"/>
      <c r="D194" s="50"/>
      <c r="E194" s="51"/>
      <c r="F194" s="52"/>
      <c r="G194" s="50"/>
      <c r="H194" s="51"/>
      <c r="I194" s="52"/>
      <c r="J194" s="52"/>
      <c r="K194" s="52"/>
      <c r="L194" s="52"/>
      <c r="M194" s="49"/>
      <c r="N194" s="49"/>
      <c r="O194" s="49"/>
      <c r="P194" s="49"/>
      <c r="Q194" s="49"/>
      <c r="R194" s="49"/>
      <c r="S194" s="49"/>
      <c r="T194" s="49"/>
      <c r="U194" s="53"/>
      <c r="V194" s="54"/>
      <c r="W194" s="54"/>
    </row>
    <row r="195" spans="1:28" s="46" customFormat="1">
      <c r="A195" s="55"/>
    </row>
    <row r="196" spans="1:28" s="46" customFormat="1">
      <c r="A196" s="55"/>
    </row>
    <row r="197" spans="1:28" s="46" customFormat="1">
      <c r="A197" s="55"/>
    </row>
    <row r="198" spans="1:28" s="46" customFormat="1">
      <c r="A198" s="55"/>
    </row>
    <row r="199" spans="1:28" s="46" customFormat="1">
      <c r="A199" s="55"/>
    </row>
    <row r="200" spans="1:28" s="46" customFormat="1">
      <c r="A200" s="55"/>
    </row>
    <row r="201" spans="1:28" s="46" customFormat="1">
      <c r="A201" s="55"/>
    </row>
    <row r="202" spans="1:28" s="46" customFormat="1">
      <c r="A202" s="55"/>
    </row>
    <row r="203" spans="1:28" s="46" customFormat="1">
      <c r="A203" s="55"/>
    </row>
    <row r="204" spans="1:28" s="46" customFormat="1">
      <c r="A204" s="55"/>
    </row>
    <row r="205" spans="1:28" s="46" customFormat="1">
      <c r="A205" s="55"/>
    </row>
    <row r="206" spans="1:28" s="46" customFormat="1">
      <c r="A206" s="55"/>
    </row>
    <row r="207" spans="1:28" s="46" customFormat="1">
      <c r="A207" s="55"/>
    </row>
    <row r="208" spans="1:28" s="46" customFormat="1">
      <c r="A208" s="55"/>
    </row>
    <row r="209" spans="1:1" s="46" customFormat="1">
      <c r="A209" s="55"/>
    </row>
    <row r="210" spans="1:1" s="46" customFormat="1">
      <c r="A210" s="55"/>
    </row>
    <row r="211" spans="1:1" s="46" customFormat="1">
      <c r="A211" s="55"/>
    </row>
    <row r="212" spans="1:1" s="46" customFormat="1">
      <c r="A212" s="55"/>
    </row>
    <row r="213" spans="1:1" s="46" customFormat="1">
      <c r="A213" s="55"/>
    </row>
    <row r="214" spans="1:1" s="46" customFormat="1">
      <c r="A214" s="55"/>
    </row>
    <row r="215" spans="1:1" s="46" customFormat="1">
      <c r="A215" s="55"/>
    </row>
    <row r="216" spans="1:1" s="46" customFormat="1">
      <c r="A216" s="55"/>
    </row>
    <row r="217" spans="1:1" s="46" customFormat="1">
      <c r="A217" s="55"/>
    </row>
    <row r="218" spans="1:1" s="46" customFormat="1">
      <c r="A218" s="55"/>
    </row>
    <row r="219" spans="1:1" s="46" customFormat="1">
      <c r="A219" s="55"/>
    </row>
    <row r="220" spans="1:1" s="46" customFormat="1">
      <c r="A220" s="55"/>
    </row>
    <row r="221" spans="1:1" s="46" customFormat="1">
      <c r="A221" s="55"/>
    </row>
    <row r="222" spans="1:1" s="46" customFormat="1">
      <c r="A222" s="55"/>
    </row>
    <row r="223" spans="1:1" s="46" customFormat="1">
      <c r="A223" s="55"/>
    </row>
    <row r="224" spans="1:1" s="46" customFormat="1">
      <c r="A224" s="55"/>
    </row>
    <row r="225" spans="1:1" s="46" customFormat="1">
      <c r="A225" s="55"/>
    </row>
    <row r="226" spans="1:1" s="46" customFormat="1">
      <c r="A226" s="55"/>
    </row>
    <row r="227" spans="1:1" s="46" customFormat="1">
      <c r="A227" s="55"/>
    </row>
    <row r="228" spans="1:1" s="46" customFormat="1">
      <c r="A228" s="55"/>
    </row>
    <row r="229" spans="1:1" s="46" customFormat="1">
      <c r="A229" s="55"/>
    </row>
    <row r="230" spans="1:1" s="46" customFormat="1">
      <c r="A230" s="55"/>
    </row>
    <row r="231" spans="1:1" s="46" customFormat="1">
      <c r="A231" s="55"/>
    </row>
    <row r="232" spans="1:1" s="46" customFormat="1">
      <c r="A232" s="55"/>
    </row>
    <row r="233" spans="1:1" s="46" customFormat="1">
      <c r="A233" s="55"/>
    </row>
    <row r="234" spans="1:1" s="46" customFormat="1">
      <c r="A234" s="55"/>
    </row>
    <row r="235" spans="1:1" s="46" customFormat="1">
      <c r="A235" s="55"/>
    </row>
    <row r="236" spans="1:1" s="46" customFormat="1">
      <c r="A236" s="55"/>
    </row>
    <row r="237" spans="1:1" s="46" customFormat="1">
      <c r="A237" s="55"/>
    </row>
    <row r="238" spans="1:1" s="46" customFormat="1">
      <c r="A238" s="55"/>
    </row>
    <row r="239" spans="1:1" s="46" customFormat="1">
      <c r="A239" s="55"/>
    </row>
    <row r="240" spans="1:1" s="46" customFormat="1">
      <c r="A240" s="55"/>
    </row>
    <row r="241" spans="1:1" s="46" customFormat="1">
      <c r="A241" s="55"/>
    </row>
    <row r="242" spans="1:1" s="46" customFormat="1">
      <c r="A242" s="55"/>
    </row>
    <row r="243" spans="1:1" s="46" customFormat="1">
      <c r="A243" s="55"/>
    </row>
    <row r="244" spans="1:1" s="46" customFormat="1">
      <c r="A244" s="55"/>
    </row>
    <row r="245" spans="1:1" s="46" customFormat="1">
      <c r="A245" s="55"/>
    </row>
    <row r="246" spans="1:1" s="46" customFormat="1">
      <c r="A246" s="55"/>
    </row>
    <row r="247" spans="1:1" s="46" customFormat="1">
      <c r="A247" s="55"/>
    </row>
    <row r="248" spans="1:1" s="46" customFormat="1">
      <c r="A248" s="55"/>
    </row>
    <row r="249" spans="1:1" s="46" customFormat="1">
      <c r="A249" s="55"/>
    </row>
    <row r="250" spans="1:1" s="46" customFormat="1">
      <c r="A250" s="55"/>
    </row>
    <row r="251" spans="1:1" s="46" customFormat="1">
      <c r="A251" s="55"/>
    </row>
    <row r="252" spans="1:1" s="46" customFormat="1">
      <c r="A252" s="55"/>
    </row>
    <row r="253" spans="1:1" s="46" customFormat="1">
      <c r="A253" s="55"/>
    </row>
    <row r="254" spans="1:1" s="46" customFormat="1">
      <c r="A254" s="55"/>
    </row>
    <row r="255" spans="1:1" s="46" customFormat="1">
      <c r="A255" s="55"/>
    </row>
    <row r="256" spans="1:1" s="46" customFormat="1">
      <c r="A256" s="55"/>
    </row>
    <row r="257" spans="1:1" s="46" customFormat="1">
      <c r="A257" s="55"/>
    </row>
    <row r="258" spans="1:1" s="46" customFormat="1">
      <c r="A258" s="55"/>
    </row>
    <row r="259" spans="1:1" s="46" customFormat="1">
      <c r="A259" s="55"/>
    </row>
    <row r="260" spans="1:1" s="46" customFormat="1">
      <c r="A260" s="55"/>
    </row>
    <row r="261" spans="1:1" s="46" customFormat="1">
      <c r="A261" s="55"/>
    </row>
    <row r="262" spans="1:1" s="46" customFormat="1">
      <c r="A262" s="55"/>
    </row>
    <row r="263" spans="1:1" s="46" customFormat="1">
      <c r="A263" s="55"/>
    </row>
    <row r="264" spans="1:1" s="46" customFormat="1">
      <c r="A264" s="55"/>
    </row>
    <row r="265" spans="1:1" s="46" customFormat="1">
      <c r="A265" s="55"/>
    </row>
    <row r="266" spans="1:1" s="46" customFormat="1">
      <c r="A266" s="55"/>
    </row>
    <row r="267" spans="1:1" s="46" customFormat="1">
      <c r="A267" s="55"/>
    </row>
    <row r="268" spans="1:1" s="46" customFormat="1">
      <c r="A268" s="55"/>
    </row>
    <row r="269" spans="1:1" s="46" customFormat="1">
      <c r="A269" s="55"/>
    </row>
    <row r="270" spans="1:1" s="46" customFormat="1">
      <c r="A270" s="55"/>
    </row>
    <row r="271" spans="1:1" s="46" customFormat="1">
      <c r="A271" s="55"/>
    </row>
    <row r="272" spans="1:1" s="46" customFormat="1">
      <c r="A272" s="55"/>
    </row>
    <row r="273" spans="1:1" s="46" customFormat="1">
      <c r="A273" s="55"/>
    </row>
    <row r="274" spans="1:1" s="46" customFormat="1">
      <c r="A274" s="55"/>
    </row>
    <row r="275" spans="1:1" s="46" customFormat="1">
      <c r="A275" s="55"/>
    </row>
    <row r="276" spans="1:1" s="46" customFormat="1">
      <c r="A276" s="55"/>
    </row>
    <row r="277" spans="1:1" s="46" customFormat="1">
      <c r="A277" s="55"/>
    </row>
    <row r="278" spans="1:1" s="46" customFormat="1">
      <c r="A278" s="55"/>
    </row>
    <row r="279" spans="1:1" s="46" customFormat="1">
      <c r="A279" s="55"/>
    </row>
    <row r="280" spans="1:1" s="46" customFormat="1">
      <c r="A280" s="55"/>
    </row>
    <row r="281" spans="1:1" s="46" customFormat="1">
      <c r="A281" s="55"/>
    </row>
    <row r="282" spans="1:1" s="46" customFormat="1">
      <c r="A282" s="55"/>
    </row>
    <row r="283" spans="1:1" s="46" customFormat="1">
      <c r="A283" s="55"/>
    </row>
    <row r="284" spans="1:1" s="46" customFormat="1">
      <c r="A284" s="55"/>
    </row>
    <row r="285" spans="1:1" s="46" customFormat="1">
      <c r="A285" s="55"/>
    </row>
    <row r="286" spans="1:1" s="46" customFormat="1">
      <c r="A286" s="55"/>
    </row>
    <row r="287" spans="1:1" s="46" customFormat="1">
      <c r="A287" s="55"/>
    </row>
    <row r="288" spans="1:1" s="46" customFormat="1">
      <c r="A288" s="55"/>
    </row>
    <row r="289" spans="1:1" s="46" customFormat="1">
      <c r="A289" s="55"/>
    </row>
    <row r="290" spans="1:1" s="46" customFormat="1">
      <c r="A290" s="55"/>
    </row>
    <row r="291" spans="1:1" s="46" customFormat="1">
      <c r="A291" s="55"/>
    </row>
    <row r="292" spans="1:1" s="46" customFormat="1">
      <c r="A292" s="55"/>
    </row>
    <row r="293" spans="1:1" s="46" customFormat="1">
      <c r="A293" s="55"/>
    </row>
    <row r="294" spans="1:1" s="46" customFormat="1">
      <c r="A294" s="55"/>
    </row>
    <row r="295" spans="1:1" s="46" customFormat="1">
      <c r="A295" s="55"/>
    </row>
    <row r="296" spans="1:1" s="46" customFormat="1">
      <c r="A296" s="55"/>
    </row>
    <row r="297" spans="1:1" s="46" customFormat="1">
      <c r="A297" s="55"/>
    </row>
    <row r="298" spans="1:1" s="46" customFormat="1">
      <c r="A298" s="55"/>
    </row>
    <row r="299" spans="1:1" s="46" customFormat="1">
      <c r="A299" s="55"/>
    </row>
    <row r="300" spans="1:1" s="46" customFormat="1">
      <c r="A300" s="55"/>
    </row>
    <row r="301" spans="1:1" s="46" customFormat="1">
      <c r="A301" s="55"/>
    </row>
    <row r="302" spans="1:1" s="46" customFormat="1">
      <c r="A302" s="55"/>
    </row>
    <row r="303" spans="1:1" s="46" customFormat="1">
      <c r="A303" s="55"/>
    </row>
    <row r="304" spans="1:1" s="46" customFormat="1">
      <c r="A304" s="55"/>
    </row>
    <row r="305" spans="1:1" s="46" customFormat="1">
      <c r="A305" s="55"/>
    </row>
    <row r="306" spans="1:1" s="46" customFormat="1">
      <c r="A306" s="55"/>
    </row>
    <row r="307" spans="1:1" s="46" customFormat="1">
      <c r="A307" s="55"/>
    </row>
    <row r="308" spans="1:1" s="46" customFormat="1">
      <c r="A308" s="55"/>
    </row>
    <row r="309" spans="1:1" s="46" customFormat="1">
      <c r="A309" s="55"/>
    </row>
    <row r="310" spans="1:1" s="46" customFormat="1">
      <c r="A310" s="55"/>
    </row>
    <row r="311" spans="1:1" s="46" customFormat="1">
      <c r="A311" s="55"/>
    </row>
    <row r="312" spans="1:1" s="46" customFormat="1">
      <c r="A312" s="55"/>
    </row>
    <row r="313" spans="1:1" s="46" customFormat="1">
      <c r="A313" s="55"/>
    </row>
    <row r="314" spans="1:1" s="46" customFormat="1">
      <c r="A314" s="55"/>
    </row>
    <row r="315" spans="1:1" s="46" customFormat="1">
      <c r="A315" s="55"/>
    </row>
    <row r="316" spans="1:1" s="46" customFormat="1">
      <c r="A316" s="55"/>
    </row>
    <row r="317" spans="1:1" s="46" customFormat="1">
      <c r="A317" s="55"/>
    </row>
    <row r="318" spans="1:1" s="46" customFormat="1">
      <c r="A318" s="55"/>
    </row>
    <row r="319" spans="1:1" s="46" customFormat="1">
      <c r="A319" s="55"/>
    </row>
    <row r="320" spans="1:1" s="46" customFormat="1">
      <c r="A320" s="55"/>
    </row>
    <row r="321" spans="1:1" s="46" customFormat="1">
      <c r="A321" s="55"/>
    </row>
    <row r="322" spans="1:1" s="46" customFormat="1">
      <c r="A322" s="55"/>
    </row>
    <row r="323" spans="1:1" s="46" customFormat="1">
      <c r="A323" s="55"/>
    </row>
    <row r="324" spans="1:1" s="46" customFormat="1">
      <c r="A324" s="55"/>
    </row>
    <row r="325" spans="1:1" s="46" customFormat="1">
      <c r="A325" s="55"/>
    </row>
    <row r="326" spans="1:1" s="46" customFormat="1">
      <c r="A326" s="55"/>
    </row>
    <row r="327" spans="1:1" s="46" customFormat="1">
      <c r="A327" s="55"/>
    </row>
    <row r="328" spans="1:1" s="46" customFormat="1">
      <c r="A328" s="55"/>
    </row>
    <row r="329" spans="1:1" s="46" customFormat="1">
      <c r="A329" s="55"/>
    </row>
    <row r="330" spans="1:1" s="46" customFormat="1">
      <c r="A330" s="55"/>
    </row>
    <row r="331" spans="1:1" s="46" customFormat="1">
      <c r="A331" s="55"/>
    </row>
    <row r="332" spans="1:1" s="46" customFormat="1">
      <c r="A332" s="55"/>
    </row>
    <row r="333" spans="1:1" s="46" customFormat="1">
      <c r="A333" s="55"/>
    </row>
    <row r="334" spans="1:1" s="46" customFormat="1">
      <c r="A334" s="55"/>
    </row>
    <row r="335" spans="1:1" s="46" customFormat="1">
      <c r="A335" s="55"/>
    </row>
    <row r="336" spans="1:1" s="46" customFormat="1">
      <c r="A336" s="55"/>
    </row>
    <row r="337" spans="1:1" s="46" customFormat="1">
      <c r="A337" s="55"/>
    </row>
    <row r="338" spans="1:1" s="46" customFormat="1">
      <c r="A338" s="55"/>
    </row>
    <row r="339" spans="1:1" s="46" customFormat="1">
      <c r="A339" s="55"/>
    </row>
    <row r="340" spans="1:1" s="46" customFormat="1">
      <c r="A340" s="55"/>
    </row>
    <row r="341" spans="1:1" s="46" customFormat="1">
      <c r="A341" s="55"/>
    </row>
    <row r="342" spans="1:1" s="46" customFormat="1">
      <c r="A342" s="55"/>
    </row>
    <row r="343" spans="1:1" s="46" customFormat="1">
      <c r="A343" s="55"/>
    </row>
    <row r="344" spans="1:1" s="46" customFormat="1">
      <c r="A344" s="55"/>
    </row>
    <row r="345" spans="1:1" s="46" customFormat="1">
      <c r="A345" s="55"/>
    </row>
    <row r="346" spans="1:1" s="46" customFormat="1">
      <c r="A346" s="55"/>
    </row>
    <row r="347" spans="1:1" s="46" customFormat="1">
      <c r="A347" s="55"/>
    </row>
    <row r="348" spans="1:1" s="46" customFormat="1">
      <c r="A348" s="55"/>
    </row>
    <row r="349" spans="1:1" s="46" customFormat="1">
      <c r="A349" s="55"/>
    </row>
    <row r="350" spans="1:1" s="46" customFormat="1">
      <c r="A350" s="55"/>
    </row>
    <row r="351" spans="1:1" s="46" customFormat="1">
      <c r="A351" s="55"/>
    </row>
    <row r="352" spans="1:1" s="46" customFormat="1">
      <c r="A352" s="55"/>
    </row>
    <row r="353" spans="1:1" s="46" customFormat="1">
      <c r="A353" s="55"/>
    </row>
    <row r="354" spans="1:1" s="46" customFormat="1">
      <c r="A354" s="55"/>
    </row>
    <row r="355" spans="1:1" s="46" customFormat="1">
      <c r="A355" s="55"/>
    </row>
    <row r="356" spans="1:1" s="46" customFormat="1">
      <c r="A356" s="55"/>
    </row>
    <row r="357" spans="1:1" s="46" customFormat="1">
      <c r="A357" s="55"/>
    </row>
    <row r="358" spans="1:1" s="46" customFormat="1">
      <c r="A358" s="55"/>
    </row>
    <row r="359" spans="1:1" s="46" customFormat="1">
      <c r="A359" s="55"/>
    </row>
    <row r="360" spans="1:1" s="46" customFormat="1">
      <c r="A360" s="55"/>
    </row>
    <row r="361" spans="1:1" s="46" customFormat="1">
      <c r="A361" s="55"/>
    </row>
    <row r="362" spans="1:1" s="46" customFormat="1">
      <c r="A362" s="55"/>
    </row>
    <row r="363" spans="1:1" s="46" customFormat="1">
      <c r="A363" s="55"/>
    </row>
    <row r="364" spans="1:1" s="46" customFormat="1">
      <c r="A364" s="55"/>
    </row>
    <row r="365" spans="1:1" s="46" customFormat="1">
      <c r="A365" s="55"/>
    </row>
    <row r="366" spans="1:1" s="46" customFormat="1">
      <c r="A366" s="55"/>
    </row>
    <row r="367" spans="1:1" s="46" customFormat="1">
      <c r="A367" s="55"/>
    </row>
    <row r="368" spans="1:1" s="46" customFormat="1">
      <c r="A368" s="55"/>
    </row>
    <row r="369" spans="1:1" s="46" customFormat="1">
      <c r="A369" s="55"/>
    </row>
    <row r="370" spans="1:1" s="46" customFormat="1">
      <c r="A370" s="55"/>
    </row>
    <row r="371" spans="1:1" s="46" customFormat="1">
      <c r="A371" s="55"/>
    </row>
    <row r="372" spans="1:1" s="46" customFormat="1">
      <c r="A372" s="55"/>
    </row>
    <row r="373" spans="1:1" s="46" customFormat="1">
      <c r="A373" s="55"/>
    </row>
    <row r="374" spans="1:1" s="46" customFormat="1">
      <c r="A374" s="55"/>
    </row>
    <row r="375" spans="1:1" s="46" customFormat="1">
      <c r="A375" s="55"/>
    </row>
    <row r="376" spans="1:1" s="46" customFormat="1">
      <c r="A376" s="55"/>
    </row>
    <row r="377" spans="1:1" s="46" customFormat="1">
      <c r="A377" s="55"/>
    </row>
    <row r="378" spans="1:1" s="46" customFormat="1">
      <c r="A378" s="55"/>
    </row>
    <row r="379" spans="1:1" s="46" customFormat="1">
      <c r="A379" s="55"/>
    </row>
    <row r="380" spans="1:1" s="46" customFormat="1">
      <c r="A380" s="55"/>
    </row>
    <row r="381" spans="1:1" s="46" customFormat="1">
      <c r="A381" s="55"/>
    </row>
    <row r="382" spans="1:1" s="46" customFormat="1">
      <c r="A382" s="55"/>
    </row>
    <row r="383" spans="1:1" s="46" customFormat="1">
      <c r="A383" s="55"/>
    </row>
    <row r="384" spans="1:1" s="46" customFormat="1">
      <c r="A384" s="55"/>
    </row>
    <row r="385" spans="1:1" s="46" customFormat="1">
      <c r="A385" s="55"/>
    </row>
    <row r="386" spans="1:1" s="46" customFormat="1">
      <c r="A386" s="55"/>
    </row>
    <row r="387" spans="1:1" s="46" customFormat="1">
      <c r="A387" s="55"/>
    </row>
    <row r="388" spans="1:1" s="46" customFormat="1">
      <c r="A388" s="55"/>
    </row>
    <row r="389" spans="1:1" s="46" customFormat="1">
      <c r="A389" s="55"/>
    </row>
    <row r="390" spans="1:1" s="46" customFormat="1">
      <c r="A390" s="55"/>
    </row>
    <row r="391" spans="1:1" s="46" customFormat="1">
      <c r="A391" s="55"/>
    </row>
    <row r="392" spans="1:1" s="46" customFormat="1">
      <c r="A392" s="55"/>
    </row>
    <row r="393" spans="1:1" s="46" customFormat="1">
      <c r="A393" s="55"/>
    </row>
    <row r="394" spans="1:1" s="46" customFormat="1">
      <c r="A394" s="55"/>
    </row>
    <row r="395" spans="1:1" s="46" customFormat="1">
      <c r="A395" s="55"/>
    </row>
    <row r="396" spans="1:1" s="46" customFormat="1">
      <c r="A396" s="55"/>
    </row>
    <row r="397" spans="1:1" s="46" customFormat="1">
      <c r="A397" s="55"/>
    </row>
    <row r="398" spans="1:1" s="46" customFormat="1">
      <c r="A398" s="55"/>
    </row>
    <row r="399" spans="1:1" s="46" customFormat="1">
      <c r="A399" s="55"/>
    </row>
    <row r="400" spans="1:1" s="46" customFormat="1">
      <c r="A400" s="55"/>
    </row>
    <row r="401" spans="1:1" s="46" customFormat="1">
      <c r="A401" s="55"/>
    </row>
    <row r="402" spans="1:1" s="46" customFormat="1">
      <c r="A402" s="55"/>
    </row>
    <row r="403" spans="1:1" s="46" customFormat="1">
      <c r="A403" s="55"/>
    </row>
    <row r="404" spans="1:1" s="46" customFormat="1">
      <c r="A404" s="55"/>
    </row>
    <row r="405" spans="1:1" s="46" customFormat="1">
      <c r="A405" s="55"/>
    </row>
    <row r="406" spans="1:1" s="46" customFormat="1">
      <c r="A406" s="55"/>
    </row>
    <row r="407" spans="1:1" s="46" customFormat="1">
      <c r="A407" s="55"/>
    </row>
    <row r="408" spans="1:1" s="46" customFormat="1">
      <c r="A408" s="55"/>
    </row>
    <row r="409" spans="1:1" s="46" customFormat="1">
      <c r="A409" s="55"/>
    </row>
    <row r="410" spans="1:1" s="46" customFormat="1">
      <c r="A410" s="55"/>
    </row>
    <row r="411" spans="1:1" s="46" customFormat="1">
      <c r="A411" s="55"/>
    </row>
    <row r="412" spans="1:1" s="46" customFormat="1">
      <c r="A412" s="55"/>
    </row>
    <row r="413" spans="1:1" s="46" customFormat="1">
      <c r="A413" s="55"/>
    </row>
    <row r="414" spans="1:1" s="46" customFormat="1">
      <c r="A414" s="55"/>
    </row>
    <row r="415" spans="1:1" s="46" customFormat="1">
      <c r="A415" s="55"/>
    </row>
    <row r="416" spans="1:1" s="46" customFormat="1">
      <c r="A416" s="55"/>
    </row>
    <row r="417" spans="1:1" s="46" customFormat="1">
      <c r="A417" s="55"/>
    </row>
    <row r="418" spans="1:1" s="46" customFormat="1">
      <c r="A418" s="55"/>
    </row>
    <row r="419" spans="1:1" s="46" customFormat="1">
      <c r="A419" s="55"/>
    </row>
    <row r="420" spans="1:1" s="46" customFormat="1">
      <c r="A420" s="55"/>
    </row>
    <row r="421" spans="1:1" s="46" customFormat="1">
      <c r="A421" s="55"/>
    </row>
    <row r="422" spans="1:1" s="46" customFormat="1">
      <c r="A422" s="55"/>
    </row>
    <row r="423" spans="1:1" s="46" customFormat="1">
      <c r="A423" s="55"/>
    </row>
    <row r="424" spans="1:1" s="46" customFormat="1">
      <c r="A424" s="55"/>
    </row>
    <row r="425" spans="1:1" s="46" customFormat="1">
      <c r="A425" s="55"/>
    </row>
  </sheetData>
  <mergeCells count="88">
    <mergeCell ref="A190:B190"/>
    <mergeCell ref="A192:B192"/>
    <mergeCell ref="A194:C194"/>
    <mergeCell ref="A177:B177"/>
    <mergeCell ref="A179:B179"/>
    <mergeCell ref="A181:B181"/>
    <mergeCell ref="A184:B184"/>
    <mergeCell ref="A186:B186"/>
    <mergeCell ref="A188:B188"/>
    <mergeCell ref="A174:B174"/>
    <mergeCell ref="A142:C142"/>
    <mergeCell ref="A147:C147"/>
    <mergeCell ref="A138:C138"/>
    <mergeCell ref="A143:C143"/>
    <mergeCell ref="A148:C148"/>
    <mergeCell ref="A153:C153"/>
    <mergeCell ref="A156:C156"/>
    <mergeCell ref="B158:U158"/>
    <mergeCell ref="A168:B168"/>
    <mergeCell ref="A171:B171"/>
    <mergeCell ref="A122:C122"/>
    <mergeCell ref="A128:C128"/>
    <mergeCell ref="A137:C137"/>
    <mergeCell ref="A107:C107"/>
    <mergeCell ref="A113:C113"/>
    <mergeCell ref="A117:C117"/>
    <mergeCell ref="A108:C108"/>
    <mergeCell ref="A114:C114"/>
    <mergeCell ref="A118:C118"/>
    <mergeCell ref="A123:C123"/>
    <mergeCell ref="A129:C129"/>
    <mergeCell ref="A103:C103"/>
    <mergeCell ref="A74:C74"/>
    <mergeCell ref="A75:B75"/>
    <mergeCell ref="C75:D75"/>
    <mergeCell ref="A78:C78"/>
    <mergeCell ref="A96:C96"/>
    <mergeCell ref="A102:C102"/>
    <mergeCell ref="A83:C83"/>
    <mergeCell ref="A88:C88"/>
    <mergeCell ref="A84:C84"/>
    <mergeCell ref="A89:C89"/>
    <mergeCell ref="A97:C97"/>
    <mergeCell ref="A60:C60"/>
    <mergeCell ref="A64:C64"/>
    <mergeCell ref="A61:C61"/>
    <mergeCell ref="A65:C65"/>
    <mergeCell ref="A79:C79"/>
    <mergeCell ref="B19:C19"/>
    <mergeCell ref="A28:C28"/>
    <mergeCell ref="A24:C24"/>
    <mergeCell ref="A29:C29"/>
    <mergeCell ref="A43:C43"/>
    <mergeCell ref="A53:C53"/>
    <mergeCell ref="B11:U11"/>
    <mergeCell ref="B12:C12"/>
    <mergeCell ref="A13:B13"/>
    <mergeCell ref="P7:R7"/>
    <mergeCell ref="S7:T7"/>
    <mergeCell ref="U7:U8"/>
    <mergeCell ref="F7:F8"/>
    <mergeCell ref="G7:H7"/>
    <mergeCell ref="I7:I8"/>
    <mergeCell ref="J7:L7"/>
    <mergeCell ref="M7:N7"/>
    <mergeCell ref="O7:O8"/>
    <mergeCell ref="A42:C42"/>
    <mergeCell ref="A52:C52"/>
    <mergeCell ref="A17:B17"/>
    <mergeCell ref="A15:C15"/>
    <mergeCell ref="V1:AB1"/>
    <mergeCell ref="A3:AB3"/>
    <mergeCell ref="A5:A8"/>
    <mergeCell ref="B5:B8"/>
    <mergeCell ref="C5:C8"/>
    <mergeCell ref="D5:F6"/>
    <mergeCell ref="G5:L5"/>
    <mergeCell ref="M5:AB5"/>
    <mergeCell ref="G6:L6"/>
    <mergeCell ref="M6:R6"/>
    <mergeCell ref="S6:W6"/>
    <mergeCell ref="X6:AB6"/>
    <mergeCell ref="D7:E7"/>
    <mergeCell ref="AA7:AB7"/>
    <mergeCell ref="X7:Y7"/>
    <mergeCell ref="Z7:Z8"/>
    <mergeCell ref="V7:W7"/>
    <mergeCell ref="A10:AB10"/>
  </mergeCells>
  <printOptions horizontalCentered="1"/>
  <pageMargins left="0.39370078740157483" right="0.39370078740157483" top="1.1811023622047245" bottom="0.39370078740157483" header="0.31496062992125984" footer="0.51181102362204722"/>
  <pageSetup paperSize="9" scale="38" firstPageNumber="12" fitToHeight="8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14.10.2025 плюс 1 млрд УТОЧ</vt:lpstr>
      <vt:lpstr>'14.10.2025 плюс 1 млрд УТОЧ'!Z_D9A49370_59EF_4DF5_B20D_A46D1CBDF607_.wvu.PrintTitles</vt:lpstr>
      <vt:lpstr>'14.10.2025 плюс 1 млрд УТОЧ'!Заголовки_для_печати</vt:lpstr>
      <vt:lpstr>'14.10.2025 плюс 1 млрд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29</cp:revision>
  <cp:lastPrinted>2025-10-16T08:41:21Z</cp:lastPrinted>
  <dcterms:created xsi:type="dcterms:W3CDTF">2023-06-29T08:05:20Z</dcterms:created>
  <dcterms:modified xsi:type="dcterms:W3CDTF">2025-10-16T08:42:51Z</dcterms:modified>
  <dc:language>ru-RU</dc:language>
</cp:coreProperties>
</file>